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7FCB4C4D-D9D9-4E96-9BFE-3450035B6EAA}" xr6:coauthVersionLast="47" xr6:coauthVersionMax="47" xr10:uidLastSave="{00000000-0000-0000-0000-000000000000}"/>
  <bookViews>
    <workbookView xWindow="-110" yWindow="-110" windowWidth="19420" windowHeight="10300" tabRatio="768" xr2:uid="{00000000-000D-0000-FFFF-FFFF00000000}"/>
  </bookViews>
  <sheets>
    <sheet name="S-D-T Calc" sheetId="3" r:id="rId1"/>
    <sheet name="SAR" sheetId="10" r:id="rId2"/>
    <sheet name="Track Spacing" sheetId="15" r:id="rId3"/>
    <sheet name="Sweep Width" sheetId="14" r:id="rId4"/>
    <sheet name="CDMVT" sheetId="13" r:id="rId5"/>
    <sheet name="TVMDC" sheetId="11" r:id="rId6"/>
    <sheet name="Range Calc" sheetId="4" r:id="rId7"/>
    <sheet name="PJ31 RPMvsSPEED" sheetId="5" r:id="rId8"/>
    <sheet name="PJ20 RPMvsSPEED" sheetId="6" r:id="rId9"/>
    <sheet name="VoyageDistanceTime" sheetId="2" r:id="rId10"/>
    <sheet name="VOYAGE PLAN Calc" sheetId="1" r:id="rId11"/>
    <sheet name="PJ31 Deviation Card" sheetId="7" r:id="rId12"/>
    <sheet name="PJ20 Deviation Card" sheetId="8" r:id="rId13"/>
  </sheets>
  <externalReferences>
    <externalReference r:id="rId14"/>
  </externalReferences>
  <definedNames>
    <definedName name="_xlnm.Print_Area" localSheetId="12">'PJ20 Deviation Card'!$A$1:$H$14</definedName>
    <definedName name="_xlnm.Print_Area" localSheetId="8">'PJ20 RPMvsSPEED'!$A$1:$O$29</definedName>
    <definedName name="_xlnm.Print_Area" localSheetId="7">'PJ31 RPMvsSPEED'!$A$1:$O$28</definedName>
    <definedName name="_xlnm.Print_Area" localSheetId="6">'Range Calc'!$A$1:$G$38</definedName>
    <definedName name="_xlnm.Print_Area" localSheetId="0">'S-D-T Calc'!$A$1:$M$77</definedName>
    <definedName name="_xlnm.Print_Area" localSheetId="3">'Sweep Width'!$A$1:$G$24</definedName>
    <definedName name="_xlnm.Print_Area" localSheetId="2">'Track Spacing'!$A$1:$K$23</definedName>
    <definedName name="_xlnm.Print_Area" localSheetId="10">'VOYAGE PLAN Calc'!$A$1:$E$29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5" l="1"/>
  <c r="J8" i="15"/>
  <c r="H6" i="15"/>
  <c r="G6" i="15"/>
  <c r="F6" i="15"/>
  <c r="E6" i="15"/>
  <c r="D6" i="15"/>
  <c r="C6" i="15"/>
  <c r="J14" i="15"/>
  <c r="J6" i="15"/>
  <c r="H13" i="15"/>
  <c r="G13" i="15"/>
  <c r="F13" i="15"/>
  <c r="E13" i="15"/>
  <c r="D13" i="15"/>
  <c r="C13" i="15"/>
  <c r="H9" i="15"/>
  <c r="H11" i="15"/>
  <c r="G9" i="15"/>
  <c r="F9" i="15"/>
  <c r="E9" i="15"/>
  <c r="D9" i="15"/>
  <c r="D11" i="15"/>
  <c r="C9" i="15"/>
  <c r="H8" i="15"/>
  <c r="G8" i="15"/>
  <c r="F8" i="15"/>
  <c r="E8" i="15"/>
  <c r="D8" i="15"/>
  <c r="C8" i="15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J22" i="10"/>
  <c r="J44" i="13"/>
  <c r="K44" i="13"/>
  <c r="F44" i="13"/>
  <c r="G44" i="13"/>
  <c r="J43" i="13"/>
  <c r="K43" i="13"/>
  <c r="F43" i="13"/>
  <c r="G43" i="13"/>
  <c r="J42" i="13"/>
  <c r="K42" i="13"/>
  <c r="F42" i="13"/>
  <c r="G42" i="13"/>
  <c r="J41" i="13"/>
  <c r="K41" i="13"/>
  <c r="F41" i="13"/>
  <c r="G41" i="13"/>
  <c r="J40" i="13"/>
  <c r="K40" i="13"/>
  <c r="F40" i="13"/>
  <c r="G40" i="13"/>
  <c r="J39" i="13"/>
  <c r="K39" i="13"/>
  <c r="F39" i="13"/>
  <c r="G39" i="13"/>
  <c r="J38" i="13"/>
  <c r="K38" i="13"/>
  <c r="F38" i="13"/>
  <c r="G38" i="13"/>
  <c r="J37" i="13"/>
  <c r="K37" i="13"/>
  <c r="F37" i="13"/>
  <c r="G37" i="13"/>
  <c r="J36" i="13"/>
  <c r="K36" i="13"/>
  <c r="F36" i="13"/>
  <c r="G36" i="13"/>
  <c r="J35" i="13"/>
  <c r="K35" i="13"/>
  <c r="F35" i="13"/>
  <c r="G35" i="13"/>
  <c r="J34" i="13"/>
  <c r="K34" i="13"/>
  <c r="F34" i="13"/>
  <c r="G34" i="13"/>
  <c r="J33" i="13"/>
  <c r="K33" i="13"/>
  <c r="F33" i="13"/>
  <c r="G33" i="13"/>
  <c r="J32" i="13"/>
  <c r="K32" i="13"/>
  <c r="F32" i="13"/>
  <c r="G32" i="13"/>
  <c r="J31" i="13"/>
  <c r="K31" i="13"/>
  <c r="F31" i="13"/>
  <c r="G31" i="13"/>
  <c r="J30" i="13"/>
  <c r="K30" i="13"/>
  <c r="F30" i="13"/>
  <c r="G30" i="13"/>
  <c r="J29" i="13"/>
  <c r="K29" i="13"/>
  <c r="F29" i="13"/>
  <c r="G29" i="13"/>
  <c r="J28" i="13"/>
  <c r="K28" i="13"/>
  <c r="F28" i="13"/>
  <c r="G28" i="13"/>
  <c r="J27" i="13"/>
  <c r="K27" i="13"/>
  <c r="F27" i="13"/>
  <c r="G27" i="13"/>
  <c r="J26" i="13"/>
  <c r="K26" i="13"/>
  <c r="F26" i="13"/>
  <c r="G26" i="13"/>
  <c r="J25" i="13"/>
  <c r="K25" i="13"/>
  <c r="F25" i="13"/>
  <c r="G25" i="13"/>
  <c r="J24" i="13"/>
  <c r="K24" i="13"/>
  <c r="F24" i="13"/>
  <c r="G24" i="13"/>
  <c r="J23" i="13"/>
  <c r="K23" i="13"/>
  <c r="F23" i="13"/>
  <c r="G23" i="13"/>
  <c r="J22" i="13"/>
  <c r="K22" i="13"/>
  <c r="F22" i="13"/>
  <c r="G22" i="13"/>
  <c r="J21" i="13"/>
  <c r="K21" i="13"/>
  <c r="F21" i="13"/>
  <c r="G21" i="13"/>
  <c r="J20" i="13"/>
  <c r="K20" i="13"/>
  <c r="F20" i="13"/>
  <c r="G20" i="13"/>
  <c r="J19" i="13"/>
  <c r="K19" i="13"/>
  <c r="F19" i="13"/>
  <c r="G19" i="13"/>
  <c r="J18" i="13"/>
  <c r="K18" i="13"/>
  <c r="F18" i="13"/>
  <c r="G18" i="13"/>
  <c r="J17" i="13"/>
  <c r="K17" i="13"/>
  <c r="G17" i="13"/>
  <c r="F17" i="13"/>
  <c r="J16" i="13"/>
  <c r="K16" i="13"/>
  <c r="F16" i="13"/>
  <c r="G16" i="13"/>
  <c r="J15" i="13"/>
  <c r="K15" i="13"/>
  <c r="F15" i="13"/>
  <c r="G15" i="13"/>
  <c r="J14" i="13"/>
  <c r="K14" i="13"/>
  <c r="F14" i="13"/>
  <c r="G14" i="13"/>
  <c r="J13" i="13"/>
  <c r="K13" i="13"/>
  <c r="F13" i="13"/>
  <c r="G13" i="13"/>
  <c r="J12" i="13"/>
  <c r="K12" i="13"/>
  <c r="F12" i="13"/>
  <c r="G12" i="13"/>
  <c r="J11" i="13"/>
  <c r="K11" i="13"/>
  <c r="F11" i="13"/>
  <c r="G11" i="13"/>
  <c r="J10" i="13"/>
  <c r="K10" i="13"/>
  <c r="F10" i="13"/>
  <c r="G10" i="13"/>
  <c r="J9" i="13"/>
  <c r="K9" i="13"/>
  <c r="F9" i="13"/>
  <c r="G9" i="13"/>
  <c r="J8" i="13"/>
  <c r="K8" i="13"/>
  <c r="F8" i="13"/>
  <c r="G8" i="13"/>
  <c r="J7" i="13"/>
  <c r="K7" i="13"/>
  <c r="F7" i="13"/>
  <c r="G7" i="13"/>
  <c r="P6" i="13"/>
  <c r="Q6" i="13"/>
  <c r="R6" i="13"/>
  <c r="M6" i="13"/>
  <c r="M7" i="13"/>
  <c r="J6" i="13"/>
  <c r="K6" i="13"/>
  <c r="F6" i="13"/>
  <c r="G6" i="13"/>
  <c r="P5" i="13"/>
  <c r="Q5" i="13"/>
  <c r="R5" i="13"/>
  <c r="S5" i="13"/>
  <c r="S6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K5" i="13"/>
  <c r="J5" i="13"/>
  <c r="G5" i="13"/>
  <c r="F5" i="13"/>
  <c r="J44" i="11"/>
  <c r="K44" i="11"/>
  <c r="F44" i="11"/>
  <c r="G44" i="11"/>
  <c r="J43" i="11"/>
  <c r="K43" i="11"/>
  <c r="F43" i="11"/>
  <c r="G43" i="11"/>
  <c r="J42" i="11"/>
  <c r="K42" i="11"/>
  <c r="F42" i="11"/>
  <c r="G42" i="11"/>
  <c r="J41" i="11"/>
  <c r="K41" i="11"/>
  <c r="F41" i="11"/>
  <c r="G41" i="11"/>
  <c r="J40" i="11"/>
  <c r="K40" i="11"/>
  <c r="F40" i="11"/>
  <c r="G40" i="11"/>
  <c r="J39" i="11"/>
  <c r="K39" i="11"/>
  <c r="F39" i="11"/>
  <c r="G39" i="11"/>
  <c r="J38" i="11"/>
  <c r="K38" i="11"/>
  <c r="F38" i="11"/>
  <c r="G38" i="11"/>
  <c r="J37" i="11"/>
  <c r="K37" i="11"/>
  <c r="F37" i="11"/>
  <c r="G37" i="11"/>
  <c r="J36" i="11"/>
  <c r="K36" i="11"/>
  <c r="F36" i="11"/>
  <c r="G36" i="11"/>
  <c r="J35" i="11"/>
  <c r="K35" i="11"/>
  <c r="F35" i="11"/>
  <c r="G35" i="11"/>
  <c r="J34" i="11"/>
  <c r="K34" i="11"/>
  <c r="F34" i="11"/>
  <c r="G34" i="11"/>
  <c r="J33" i="11"/>
  <c r="K33" i="11"/>
  <c r="F33" i="11"/>
  <c r="G33" i="11"/>
  <c r="J32" i="11"/>
  <c r="K32" i="11"/>
  <c r="F32" i="11"/>
  <c r="G32" i="11"/>
  <c r="J31" i="11"/>
  <c r="K31" i="11"/>
  <c r="F31" i="11"/>
  <c r="G31" i="11"/>
  <c r="J30" i="11"/>
  <c r="K30" i="11"/>
  <c r="F30" i="11"/>
  <c r="G30" i="11"/>
  <c r="J29" i="11"/>
  <c r="K29" i="11"/>
  <c r="F29" i="11"/>
  <c r="G29" i="11"/>
  <c r="J28" i="11"/>
  <c r="K28" i="11"/>
  <c r="F28" i="11"/>
  <c r="G28" i="11"/>
  <c r="J27" i="11"/>
  <c r="K27" i="11"/>
  <c r="F27" i="11"/>
  <c r="G27" i="11"/>
  <c r="J26" i="11"/>
  <c r="K26" i="11"/>
  <c r="F26" i="11"/>
  <c r="G26" i="11"/>
  <c r="J25" i="11"/>
  <c r="K25" i="11"/>
  <c r="F25" i="11"/>
  <c r="G25" i="11"/>
  <c r="J24" i="11"/>
  <c r="K24" i="11"/>
  <c r="F24" i="11"/>
  <c r="G24" i="11"/>
  <c r="J23" i="11"/>
  <c r="K23" i="11"/>
  <c r="F23" i="11"/>
  <c r="G23" i="11"/>
  <c r="J22" i="11"/>
  <c r="K22" i="11"/>
  <c r="F22" i="11"/>
  <c r="G22" i="11"/>
  <c r="J21" i="11"/>
  <c r="K21" i="11"/>
  <c r="F21" i="11"/>
  <c r="G21" i="11"/>
  <c r="J20" i="11"/>
  <c r="K20" i="11"/>
  <c r="F20" i="11"/>
  <c r="G20" i="11"/>
  <c r="J19" i="11"/>
  <c r="K19" i="11"/>
  <c r="F19" i="11"/>
  <c r="G19" i="11"/>
  <c r="J18" i="11"/>
  <c r="K18" i="11"/>
  <c r="F18" i="11"/>
  <c r="G18" i="11"/>
  <c r="J17" i="11"/>
  <c r="K17" i="11"/>
  <c r="F17" i="11"/>
  <c r="G17" i="11"/>
  <c r="J16" i="11"/>
  <c r="K16" i="11"/>
  <c r="F16" i="11"/>
  <c r="G16" i="11"/>
  <c r="J15" i="11"/>
  <c r="K15" i="11"/>
  <c r="F15" i="11"/>
  <c r="G15" i="11"/>
  <c r="J14" i="11"/>
  <c r="K14" i="11"/>
  <c r="F14" i="11"/>
  <c r="G14" i="11"/>
  <c r="J13" i="11"/>
  <c r="K13" i="11"/>
  <c r="F13" i="11"/>
  <c r="G13" i="11"/>
  <c r="J12" i="11"/>
  <c r="K12" i="11"/>
  <c r="F12" i="11"/>
  <c r="G12" i="11"/>
  <c r="J11" i="11"/>
  <c r="K11" i="11"/>
  <c r="F11" i="11"/>
  <c r="G11" i="11"/>
  <c r="J10" i="11"/>
  <c r="K10" i="11"/>
  <c r="F10" i="11"/>
  <c r="G10" i="11"/>
  <c r="J9" i="11"/>
  <c r="K9" i="11"/>
  <c r="F9" i="11"/>
  <c r="G9" i="11"/>
  <c r="J8" i="11"/>
  <c r="K8" i="11"/>
  <c r="F8" i="11"/>
  <c r="G8" i="11"/>
  <c r="J7" i="11"/>
  <c r="K7" i="11"/>
  <c r="F7" i="11"/>
  <c r="G7" i="11"/>
  <c r="M6" i="11"/>
  <c r="M7" i="11"/>
  <c r="J6" i="11"/>
  <c r="K6" i="11"/>
  <c r="F6" i="11"/>
  <c r="G6" i="11"/>
  <c r="P5" i="11"/>
  <c r="Q5" i="11"/>
  <c r="R5" i="11"/>
  <c r="S5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K5" i="11"/>
  <c r="J5" i="11"/>
  <c r="G5" i="11"/>
  <c r="F5" i="11"/>
  <c r="K54" i="10"/>
  <c r="K48" i="10"/>
  <c r="L48" i="10"/>
  <c r="N48" i="10"/>
  <c r="O48" i="10"/>
  <c r="K47" i="10"/>
  <c r="L47" i="10"/>
  <c r="N47" i="10"/>
  <c r="O47" i="10"/>
  <c r="A47" i="10"/>
  <c r="L40" i="10"/>
  <c r="N40" i="10"/>
  <c r="O40" i="10"/>
  <c r="K40" i="10"/>
  <c r="K41" i="10"/>
  <c r="N33" i="10"/>
  <c r="O33" i="10"/>
  <c r="L33" i="10"/>
  <c r="K33" i="10"/>
  <c r="K34" i="10"/>
  <c r="K35" i="10"/>
  <c r="K36" i="10"/>
  <c r="L36" i="10"/>
  <c r="N36" i="10"/>
  <c r="O36" i="10"/>
  <c r="L29" i="10"/>
  <c r="N29" i="10"/>
  <c r="O29" i="10"/>
  <c r="N28" i="10"/>
  <c r="O28" i="10"/>
  <c r="L28" i="10"/>
  <c r="L27" i="10"/>
  <c r="N27" i="10"/>
  <c r="O27" i="10"/>
  <c r="D27" i="10"/>
  <c r="E27" i="10"/>
  <c r="F27" i="10"/>
  <c r="G27" i="10"/>
  <c r="D28" i="10"/>
  <c r="N26" i="10"/>
  <c r="O26" i="10"/>
  <c r="L26" i="10"/>
  <c r="K26" i="10"/>
  <c r="K27" i="10"/>
  <c r="K28" i="10"/>
  <c r="K29" i="10"/>
  <c r="E26" i="10"/>
  <c r="F26" i="10"/>
  <c r="G26" i="10"/>
  <c r="A26" i="10"/>
  <c r="C21" i="10"/>
  <c r="B21" i="10"/>
  <c r="C20" i="10"/>
  <c r="B20" i="10"/>
  <c r="B18" i="10"/>
  <c r="C16" i="10"/>
  <c r="B16" i="10"/>
  <c r="C17" i="10"/>
  <c r="B17" i="10"/>
  <c r="C18" i="10"/>
  <c r="C12" i="10"/>
  <c r="B12" i="10"/>
  <c r="B10" i="10"/>
  <c r="C8" i="10"/>
  <c r="B8" i="10"/>
  <c r="C9" i="10"/>
  <c r="B9" i="10"/>
  <c r="C10" i="10"/>
  <c r="P5" i="10"/>
  <c r="O5" i="10"/>
  <c r="P6" i="10"/>
  <c r="O6" i="10"/>
  <c r="P7" i="10"/>
  <c r="O7" i="10"/>
  <c r="P8" i="10"/>
  <c r="O8" i="10"/>
  <c r="P9" i="10"/>
  <c r="O9" i="10"/>
  <c r="P10" i="10"/>
  <c r="O10" i="10"/>
  <c r="P11" i="10"/>
  <c r="O11" i="10"/>
  <c r="P12" i="10"/>
  <c r="O12" i="10"/>
  <c r="P13" i="10"/>
  <c r="O13" i="10"/>
  <c r="P14" i="10"/>
  <c r="O14" i="10"/>
  <c r="P15" i="10"/>
  <c r="O15" i="10"/>
  <c r="P16" i="10"/>
  <c r="O16" i="10"/>
  <c r="P17" i="10"/>
  <c r="O17" i="10"/>
  <c r="P18" i="10"/>
  <c r="O18" i="10"/>
  <c r="P19" i="10"/>
  <c r="O19" i="10"/>
  <c r="P20" i="10"/>
  <c r="O20" i="10"/>
  <c r="P21" i="10"/>
  <c r="O21" i="10"/>
  <c r="L5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M4" i="10"/>
  <c r="E4" i="10"/>
  <c r="E5" i="10"/>
  <c r="E6" i="10"/>
  <c r="E7" i="10"/>
  <c r="C4" i="10"/>
  <c r="B4" i="10"/>
  <c r="D3" i="10"/>
  <c r="M5" i="10"/>
  <c r="N5" i="10"/>
  <c r="M8" i="13"/>
  <c r="P7" i="13"/>
  <c r="U5" i="13"/>
  <c r="V5" i="13"/>
  <c r="V6" i="13"/>
  <c r="U6" i="13"/>
  <c r="P7" i="11"/>
  <c r="M8" i="11"/>
  <c r="U5" i="11"/>
  <c r="V5" i="11"/>
  <c r="P6" i="11"/>
  <c r="C13" i="10"/>
  <c r="B13" i="10"/>
  <c r="K42" i="10"/>
  <c r="L41" i="10"/>
  <c r="N41" i="10"/>
  <c r="O41" i="10"/>
  <c r="K55" i="10"/>
  <c r="L54" i="10"/>
  <c r="N54" i="10"/>
  <c r="O54" i="10"/>
  <c r="L6" i="10"/>
  <c r="K49" i="10"/>
  <c r="N4" i="10"/>
  <c r="C22" i="10"/>
  <c r="B22" i="10"/>
  <c r="D29" i="10"/>
  <c r="E28" i="10"/>
  <c r="F28" i="10"/>
  <c r="G28" i="10"/>
  <c r="L34" i="10"/>
  <c r="N34" i="10"/>
  <c r="O34" i="10"/>
  <c r="L35" i="10"/>
  <c r="N35" i="10"/>
  <c r="O35" i="10"/>
  <c r="Q7" i="13"/>
  <c r="R7" i="13"/>
  <c r="S7" i="13"/>
  <c r="U7" i="13"/>
  <c r="V7" i="13"/>
  <c r="M9" i="13"/>
  <c r="P8" i="13"/>
  <c r="P8" i="11"/>
  <c r="M9" i="11"/>
  <c r="Q7" i="11"/>
  <c r="R7" i="11"/>
  <c r="U7" i="11"/>
  <c r="Q6" i="11"/>
  <c r="R6" i="11"/>
  <c r="S6" i="11"/>
  <c r="U6" i="11"/>
  <c r="V6" i="11"/>
  <c r="V7" i="11"/>
  <c r="D30" i="10"/>
  <c r="E29" i="10"/>
  <c r="F29" i="10"/>
  <c r="G29" i="10"/>
  <c r="L49" i="10"/>
  <c r="N49" i="10"/>
  <c r="O49" i="10"/>
  <c r="K50" i="10"/>
  <c r="L50" i="10"/>
  <c r="N50" i="10"/>
  <c r="O50" i="10"/>
  <c r="K56" i="10"/>
  <c r="L55" i="10"/>
  <c r="N55" i="10"/>
  <c r="O55" i="10"/>
  <c r="K43" i="10"/>
  <c r="L43" i="10"/>
  <c r="N43" i="10"/>
  <c r="O43" i="10"/>
  <c r="L42" i="10"/>
  <c r="N42" i="10"/>
  <c r="O42" i="10"/>
  <c r="C14" i="10"/>
  <c r="B14" i="10"/>
  <c r="L7" i="10"/>
  <c r="M6" i="10"/>
  <c r="V8" i="13"/>
  <c r="M10" i="13"/>
  <c r="P9" i="13"/>
  <c r="Q8" i="13"/>
  <c r="R8" i="13"/>
  <c r="S8" i="13"/>
  <c r="U8" i="13"/>
  <c r="M10" i="11"/>
  <c r="P9" i="11"/>
  <c r="S7" i="11"/>
  <c r="S8" i="11"/>
  <c r="Q8" i="11"/>
  <c r="R8" i="11"/>
  <c r="U8" i="11"/>
  <c r="V8" i="11"/>
  <c r="N6" i="10"/>
  <c r="K57" i="10"/>
  <c r="L57" i="10"/>
  <c r="N57" i="10"/>
  <c r="O57" i="10"/>
  <c r="L56" i="10"/>
  <c r="N56" i="10"/>
  <c r="O56" i="10"/>
  <c r="M7" i="10"/>
  <c r="N7" i="10"/>
  <c r="L8" i="10"/>
  <c r="D31" i="10"/>
  <c r="D53" i="10"/>
  <c r="E53" i="10"/>
  <c r="F53" i="10"/>
  <c r="G53" i="10"/>
  <c r="E30" i="10"/>
  <c r="F30" i="10"/>
  <c r="G30" i="10"/>
  <c r="Q9" i="13"/>
  <c r="R9" i="13"/>
  <c r="S9" i="13"/>
  <c r="U9" i="13"/>
  <c r="V9" i="13"/>
  <c r="M11" i="13"/>
  <c r="P10" i="13"/>
  <c r="Q9" i="11"/>
  <c r="R9" i="11"/>
  <c r="S9" i="11"/>
  <c r="U9" i="11"/>
  <c r="V9" i="11"/>
  <c r="M11" i="11"/>
  <c r="P10" i="11"/>
  <c r="D32" i="10"/>
  <c r="D33" i="10"/>
  <c r="E31" i="10"/>
  <c r="F31" i="10"/>
  <c r="G31" i="10"/>
  <c r="M8" i="10"/>
  <c r="N8" i="10"/>
  <c r="L9" i="10"/>
  <c r="Q10" i="13"/>
  <c r="R10" i="13"/>
  <c r="S10" i="13"/>
  <c r="U10" i="13"/>
  <c r="V10" i="13"/>
  <c r="M12" i="13"/>
  <c r="P11" i="13"/>
  <c r="S10" i="11"/>
  <c r="Q10" i="11"/>
  <c r="R10" i="11"/>
  <c r="U10" i="11"/>
  <c r="V10" i="11"/>
  <c r="P11" i="11"/>
  <c r="M12" i="11"/>
  <c r="L10" i="10"/>
  <c r="M9" i="10"/>
  <c r="E32" i="10"/>
  <c r="F32" i="10"/>
  <c r="G32" i="10"/>
  <c r="Q11" i="13"/>
  <c r="R11" i="13"/>
  <c r="S11" i="13"/>
  <c r="U11" i="13"/>
  <c r="V11" i="13"/>
  <c r="M13" i="13"/>
  <c r="P12" i="13"/>
  <c r="P12" i="11"/>
  <c r="M13" i="11"/>
  <c r="Q11" i="11"/>
  <c r="R11" i="11"/>
  <c r="S11" i="11"/>
  <c r="U11" i="11"/>
  <c r="V11" i="11"/>
  <c r="L11" i="10"/>
  <c r="M10" i="10"/>
  <c r="N10" i="10"/>
  <c r="N9" i="10"/>
  <c r="V12" i="13"/>
  <c r="Q12" i="13"/>
  <c r="R12" i="13"/>
  <c r="S12" i="13"/>
  <c r="U12" i="13"/>
  <c r="M14" i="13"/>
  <c r="P13" i="13"/>
  <c r="S12" i="11"/>
  <c r="M14" i="11"/>
  <c r="P13" i="11"/>
  <c r="Q12" i="11"/>
  <c r="R12" i="11"/>
  <c r="U12" i="11"/>
  <c r="V12" i="11"/>
  <c r="L12" i="10"/>
  <c r="M11" i="10"/>
  <c r="N11" i="10"/>
  <c r="S13" i="13"/>
  <c r="M15" i="13"/>
  <c r="P14" i="13"/>
  <c r="Q13" i="13"/>
  <c r="R13" i="13"/>
  <c r="U13" i="13"/>
  <c r="V13" i="13"/>
  <c r="Q13" i="11"/>
  <c r="R13" i="11"/>
  <c r="U13" i="11"/>
  <c r="V13" i="11"/>
  <c r="S13" i="11"/>
  <c r="M15" i="11"/>
  <c r="P14" i="11"/>
  <c r="L13" i="10"/>
  <c r="M12" i="10"/>
  <c r="N12" i="10"/>
  <c r="M16" i="13"/>
  <c r="P15" i="13"/>
  <c r="Q14" i="13"/>
  <c r="R14" i="13"/>
  <c r="S14" i="13"/>
  <c r="U14" i="13"/>
  <c r="V14" i="13"/>
  <c r="Q14" i="11"/>
  <c r="R14" i="11"/>
  <c r="S14" i="11"/>
  <c r="U14" i="11"/>
  <c r="V14" i="11"/>
  <c r="P15" i="11"/>
  <c r="M16" i="11"/>
  <c r="M13" i="10"/>
  <c r="N13" i="10"/>
  <c r="L14" i="10"/>
  <c r="M17" i="13"/>
  <c r="P16" i="13"/>
  <c r="Q15" i="13"/>
  <c r="R15" i="13"/>
  <c r="S15" i="13"/>
  <c r="U15" i="13"/>
  <c r="V15" i="13"/>
  <c r="S15" i="11"/>
  <c r="P16" i="11"/>
  <c r="M17" i="11"/>
  <c r="Q15" i="11"/>
  <c r="R15" i="11"/>
  <c r="U15" i="11"/>
  <c r="V15" i="11"/>
  <c r="L15" i="10"/>
  <c r="M14" i="10"/>
  <c r="N14" i="10"/>
  <c r="P17" i="13"/>
  <c r="M18" i="13"/>
  <c r="Q16" i="13"/>
  <c r="R16" i="13"/>
  <c r="S16" i="13"/>
  <c r="U16" i="13"/>
  <c r="V16" i="13"/>
  <c r="M18" i="11"/>
  <c r="P17" i="11"/>
  <c r="Q16" i="11"/>
  <c r="R16" i="11"/>
  <c r="S16" i="11"/>
  <c r="U16" i="11"/>
  <c r="V16" i="11"/>
  <c r="M15" i="10"/>
  <c r="N15" i="10"/>
  <c r="L16" i="10"/>
  <c r="M19" i="13"/>
  <c r="P18" i="13"/>
  <c r="Q17" i="13"/>
  <c r="R17" i="13"/>
  <c r="S17" i="13"/>
  <c r="U17" i="13"/>
  <c r="V17" i="13"/>
  <c r="S17" i="11"/>
  <c r="Q17" i="11"/>
  <c r="R17" i="11"/>
  <c r="U17" i="11"/>
  <c r="V17" i="11"/>
  <c r="P18" i="11"/>
  <c r="M19" i="11"/>
  <c r="M16" i="10"/>
  <c r="N16" i="10"/>
  <c r="L17" i="10"/>
  <c r="P19" i="13"/>
  <c r="M20" i="13"/>
  <c r="Q18" i="13"/>
  <c r="R18" i="13"/>
  <c r="S18" i="13"/>
  <c r="U18" i="13"/>
  <c r="V18" i="13"/>
  <c r="M20" i="11"/>
  <c r="P19" i="11"/>
  <c r="S18" i="11"/>
  <c r="Q18" i="11"/>
  <c r="R18" i="11"/>
  <c r="U18" i="11"/>
  <c r="V18" i="11"/>
  <c r="L18" i="10"/>
  <c r="M17" i="10"/>
  <c r="N17" i="10"/>
  <c r="M21" i="13"/>
  <c r="P20" i="13"/>
  <c r="Q19" i="13"/>
  <c r="R19" i="13"/>
  <c r="S19" i="13"/>
  <c r="U19" i="13"/>
  <c r="V19" i="13"/>
  <c r="Q19" i="11"/>
  <c r="R19" i="11"/>
  <c r="S19" i="11"/>
  <c r="U19" i="11"/>
  <c r="V19" i="11"/>
  <c r="P20" i="11"/>
  <c r="M21" i="11"/>
  <c r="M18" i="10"/>
  <c r="N18" i="10"/>
  <c r="L19" i="10"/>
  <c r="S20" i="13"/>
  <c r="V20" i="13"/>
  <c r="Q20" i="13"/>
  <c r="R20" i="13"/>
  <c r="U20" i="13"/>
  <c r="P21" i="13"/>
  <c r="M22" i="13"/>
  <c r="M22" i="11"/>
  <c r="P21" i="11"/>
  <c r="Q20" i="11"/>
  <c r="R20" i="11"/>
  <c r="S20" i="11"/>
  <c r="U20" i="11"/>
  <c r="V20" i="11"/>
  <c r="L20" i="10"/>
  <c r="M19" i="10"/>
  <c r="N19" i="10"/>
  <c r="M23" i="13"/>
  <c r="P22" i="13"/>
  <c r="V21" i="13"/>
  <c r="Q21" i="13"/>
  <c r="R21" i="13"/>
  <c r="S21" i="13"/>
  <c r="U21" i="13"/>
  <c r="S21" i="11"/>
  <c r="Q21" i="11"/>
  <c r="R21" i="11"/>
  <c r="U21" i="11"/>
  <c r="V21" i="11"/>
  <c r="P22" i="11"/>
  <c r="M23" i="11"/>
  <c r="L21" i="10"/>
  <c r="M20" i="10"/>
  <c r="N20" i="10"/>
  <c r="S22" i="13"/>
  <c r="Q22" i="13"/>
  <c r="R22" i="13"/>
  <c r="U22" i="13"/>
  <c r="V22" i="13"/>
  <c r="P23" i="13"/>
  <c r="M24" i="13"/>
  <c r="M24" i="11"/>
  <c r="P23" i="11"/>
  <c r="S22" i="11"/>
  <c r="Q22" i="11"/>
  <c r="R22" i="11"/>
  <c r="U22" i="11"/>
  <c r="V22" i="11"/>
  <c r="M21" i="10"/>
  <c r="L22" i="10"/>
  <c r="Q23" i="13"/>
  <c r="R23" i="13"/>
  <c r="U23" i="13"/>
  <c r="V23" i="13"/>
  <c r="S23" i="13"/>
  <c r="M25" i="13"/>
  <c r="P24" i="13"/>
  <c r="Q23" i="11"/>
  <c r="R23" i="11"/>
  <c r="S23" i="11"/>
  <c r="U23" i="11"/>
  <c r="V23" i="11"/>
  <c r="P24" i="11"/>
  <c r="M25" i="11"/>
  <c r="N21" i="10"/>
  <c r="N22" i="10"/>
  <c r="M22" i="10"/>
  <c r="Q24" i="13"/>
  <c r="R24" i="13"/>
  <c r="U24" i="13"/>
  <c r="V24" i="13"/>
  <c r="S24" i="13"/>
  <c r="P25" i="13"/>
  <c r="M26" i="13"/>
  <c r="Q24" i="11"/>
  <c r="R24" i="11"/>
  <c r="S24" i="11"/>
  <c r="U24" i="11"/>
  <c r="V24" i="11"/>
  <c r="M26" i="11"/>
  <c r="P25" i="11"/>
  <c r="M27" i="13"/>
  <c r="P26" i="13"/>
  <c r="S25" i="13"/>
  <c r="Q25" i="13"/>
  <c r="R25" i="13"/>
  <c r="U25" i="13"/>
  <c r="V25" i="13"/>
  <c r="Q25" i="11"/>
  <c r="R25" i="11"/>
  <c r="S25" i="11"/>
  <c r="U25" i="11"/>
  <c r="V25" i="11"/>
  <c r="P26" i="11"/>
  <c r="M27" i="11"/>
  <c r="Q26" i="13"/>
  <c r="R26" i="13"/>
  <c r="S26" i="13"/>
  <c r="U26" i="13"/>
  <c r="V26" i="13"/>
  <c r="P27" i="13"/>
  <c r="M28" i="13"/>
  <c r="M28" i="11"/>
  <c r="P27" i="11"/>
  <c r="Q26" i="11"/>
  <c r="R26" i="11"/>
  <c r="S26" i="11"/>
  <c r="U26" i="11"/>
  <c r="V26" i="11"/>
  <c r="S27" i="13"/>
  <c r="P28" i="13"/>
  <c r="M29" i="13"/>
  <c r="Q27" i="13"/>
  <c r="R27" i="13"/>
  <c r="U27" i="13"/>
  <c r="V27" i="13"/>
  <c r="V27" i="11"/>
  <c r="P28" i="11"/>
  <c r="M29" i="11"/>
  <c r="Q27" i="11"/>
  <c r="R27" i="11"/>
  <c r="S27" i="11"/>
  <c r="U27" i="11"/>
  <c r="P29" i="13"/>
  <c r="M30" i="13"/>
  <c r="Q28" i="13"/>
  <c r="R28" i="13"/>
  <c r="S28" i="13"/>
  <c r="U28" i="13"/>
  <c r="V28" i="13"/>
  <c r="M30" i="11"/>
  <c r="P29" i="11"/>
  <c r="Q28" i="11"/>
  <c r="R28" i="11"/>
  <c r="S28" i="11"/>
  <c r="U28" i="11"/>
  <c r="V28" i="11"/>
  <c r="S29" i="13"/>
  <c r="P30" i="13"/>
  <c r="M31" i="13"/>
  <c r="Q29" i="13"/>
  <c r="R29" i="13"/>
  <c r="U29" i="13"/>
  <c r="V29" i="13"/>
  <c r="Q29" i="11"/>
  <c r="R29" i="11"/>
  <c r="S29" i="11"/>
  <c r="U29" i="11"/>
  <c r="V29" i="11"/>
  <c r="P30" i="11"/>
  <c r="M31" i="11"/>
  <c r="P31" i="13"/>
  <c r="M32" i="13"/>
  <c r="Q30" i="13"/>
  <c r="R30" i="13"/>
  <c r="S30" i="13"/>
  <c r="U30" i="13"/>
  <c r="V30" i="13"/>
  <c r="M32" i="11"/>
  <c r="P31" i="11"/>
  <c r="Q30" i="11"/>
  <c r="R30" i="11"/>
  <c r="S30" i="11"/>
  <c r="U30" i="11"/>
  <c r="V30" i="11"/>
  <c r="P32" i="13"/>
  <c r="M33" i="13"/>
  <c r="Q31" i="13"/>
  <c r="R31" i="13"/>
  <c r="S31" i="13"/>
  <c r="U31" i="13"/>
  <c r="V31" i="13"/>
  <c r="Q31" i="11"/>
  <c r="R31" i="11"/>
  <c r="S31" i="11"/>
  <c r="U31" i="11"/>
  <c r="V31" i="11"/>
  <c r="P32" i="11"/>
  <c r="M33" i="11"/>
  <c r="P33" i="13"/>
  <c r="M34" i="13"/>
  <c r="Q32" i="13"/>
  <c r="R32" i="13"/>
  <c r="S32" i="13"/>
  <c r="U32" i="13"/>
  <c r="V32" i="13"/>
  <c r="P33" i="11"/>
  <c r="M34" i="11"/>
  <c r="Q32" i="11"/>
  <c r="R32" i="11"/>
  <c r="S32" i="11"/>
  <c r="U32" i="11"/>
  <c r="V32" i="11"/>
  <c r="P34" i="13"/>
  <c r="M35" i="13"/>
  <c r="Q33" i="13"/>
  <c r="R33" i="13"/>
  <c r="S33" i="13"/>
  <c r="U33" i="13"/>
  <c r="V33" i="13"/>
  <c r="Q33" i="11"/>
  <c r="R33" i="11"/>
  <c r="S33" i="11"/>
  <c r="U33" i="11"/>
  <c r="V33" i="11"/>
  <c r="P34" i="11"/>
  <c r="M35" i="11"/>
  <c r="Q34" i="13"/>
  <c r="R34" i="13"/>
  <c r="S34" i="13"/>
  <c r="U34" i="13"/>
  <c r="V34" i="13"/>
  <c r="P35" i="13"/>
  <c r="M36" i="13"/>
  <c r="P35" i="11"/>
  <c r="M36" i="11"/>
  <c r="Q34" i="11"/>
  <c r="R34" i="11"/>
  <c r="S34" i="11"/>
  <c r="U34" i="11"/>
  <c r="V34" i="11"/>
  <c r="P36" i="13"/>
  <c r="M37" i="13"/>
  <c r="Q35" i="13"/>
  <c r="R35" i="13"/>
  <c r="S35" i="13"/>
  <c r="U35" i="13"/>
  <c r="V35" i="13"/>
  <c r="P36" i="11"/>
  <c r="M37" i="11"/>
  <c r="Q35" i="11"/>
  <c r="R35" i="11"/>
  <c r="S35" i="11"/>
  <c r="U35" i="11"/>
  <c r="V35" i="11"/>
  <c r="P37" i="13"/>
  <c r="M38" i="13"/>
  <c r="Q36" i="13"/>
  <c r="R36" i="13"/>
  <c r="S36" i="13"/>
  <c r="U36" i="13"/>
  <c r="V36" i="13"/>
  <c r="P37" i="11"/>
  <c r="M38" i="11"/>
  <c r="Q36" i="11"/>
  <c r="R36" i="11"/>
  <c r="S36" i="11"/>
  <c r="U36" i="11"/>
  <c r="V36" i="11"/>
  <c r="P38" i="13"/>
  <c r="M39" i="13"/>
  <c r="Q37" i="13"/>
  <c r="R37" i="13"/>
  <c r="S37" i="13"/>
  <c r="U37" i="13"/>
  <c r="V37" i="13"/>
  <c r="P38" i="11"/>
  <c r="M39" i="11"/>
  <c r="Q37" i="11"/>
  <c r="R37" i="11"/>
  <c r="S37" i="11"/>
  <c r="U37" i="11"/>
  <c r="V37" i="11"/>
  <c r="P39" i="13"/>
  <c r="M40" i="13"/>
  <c r="Q38" i="13"/>
  <c r="R38" i="13"/>
  <c r="S38" i="13"/>
  <c r="U38" i="13"/>
  <c r="V38" i="13"/>
  <c r="P39" i="11"/>
  <c r="M40" i="11"/>
  <c r="Q38" i="11"/>
  <c r="R38" i="11"/>
  <c r="S38" i="11"/>
  <c r="U38" i="11"/>
  <c r="V38" i="11"/>
  <c r="P40" i="13"/>
  <c r="M41" i="13"/>
  <c r="Q39" i="13"/>
  <c r="R39" i="13"/>
  <c r="S39" i="13"/>
  <c r="U39" i="13"/>
  <c r="V39" i="13"/>
  <c r="Q39" i="11"/>
  <c r="R39" i="11"/>
  <c r="S39" i="11"/>
  <c r="U39" i="11"/>
  <c r="V39" i="11"/>
  <c r="P40" i="11"/>
  <c r="M41" i="11"/>
  <c r="P41" i="13"/>
  <c r="M42" i="13"/>
  <c r="Q40" i="13"/>
  <c r="R40" i="13"/>
  <c r="S40" i="13"/>
  <c r="U40" i="13"/>
  <c r="V40" i="13"/>
  <c r="P41" i="11"/>
  <c r="M42" i="11"/>
  <c r="Q40" i="11"/>
  <c r="R40" i="11"/>
  <c r="S40" i="11"/>
  <c r="U40" i="11"/>
  <c r="V40" i="11"/>
  <c r="V41" i="13"/>
  <c r="P42" i="13"/>
  <c r="M43" i="13"/>
  <c r="Q41" i="13"/>
  <c r="R41" i="13"/>
  <c r="S41" i="13"/>
  <c r="U41" i="13"/>
  <c r="S41" i="11"/>
  <c r="P42" i="11"/>
  <c r="M43" i="11"/>
  <c r="Q41" i="11"/>
  <c r="R41" i="11"/>
  <c r="U41" i="11"/>
  <c r="V41" i="11"/>
  <c r="P43" i="13"/>
  <c r="M44" i="13"/>
  <c r="P44" i="13"/>
  <c r="Q42" i="13"/>
  <c r="R42" i="13"/>
  <c r="S42" i="13"/>
  <c r="U42" i="13"/>
  <c r="V42" i="13"/>
  <c r="P43" i="11"/>
  <c r="M44" i="11"/>
  <c r="P44" i="11"/>
  <c r="S42" i="11"/>
  <c r="Q42" i="11"/>
  <c r="R42" i="11"/>
  <c r="U42" i="11"/>
  <c r="V42" i="11"/>
  <c r="Q44" i="13"/>
  <c r="R44" i="13"/>
  <c r="U44" i="13"/>
  <c r="Q43" i="13"/>
  <c r="R43" i="13"/>
  <c r="S43" i="13"/>
  <c r="S44" i="13"/>
  <c r="U43" i="13"/>
  <c r="V43" i="13"/>
  <c r="V44" i="13"/>
  <c r="Q44" i="11"/>
  <c r="R44" i="11"/>
  <c r="U44" i="11"/>
  <c r="Q43" i="11"/>
  <c r="R43" i="11"/>
  <c r="S43" i="11"/>
  <c r="S44" i="11"/>
  <c r="U43" i="11"/>
  <c r="V43" i="11"/>
  <c r="V44" i="11"/>
  <c r="M28" i="6"/>
  <c r="J28" i="6"/>
  <c r="K28" i="6"/>
  <c r="L28" i="6"/>
  <c r="I28" i="6"/>
  <c r="M27" i="6"/>
  <c r="J27" i="6"/>
  <c r="K27" i="6"/>
  <c r="L27" i="6"/>
  <c r="I27" i="6"/>
  <c r="M26" i="6"/>
  <c r="J26" i="6"/>
  <c r="K26" i="6"/>
  <c r="L26" i="6"/>
  <c r="I26" i="6"/>
  <c r="M25" i="6"/>
  <c r="K25" i="6"/>
  <c r="L25" i="6"/>
  <c r="J25" i="6"/>
  <c r="I25" i="6"/>
  <c r="M24" i="6"/>
  <c r="J24" i="6"/>
  <c r="K24" i="6"/>
  <c r="L24" i="6"/>
  <c r="I24" i="6"/>
  <c r="M23" i="6"/>
  <c r="K23" i="6"/>
  <c r="L23" i="6"/>
  <c r="J23" i="6"/>
  <c r="I23" i="6"/>
  <c r="M22" i="6"/>
  <c r="J22" i="6"/>
  <c r="K22" i="6"/>
  <c r="L22" i="6"/>
  <c r="I22" i="6"/>
  <c r="M21" i="6"/>
  <c r="K21" i="6"/>
  <c r="L21" i="6"/>
  <c r="J21" i="6"/>
  <c r="I21" i="6"/>
  <c r="M20" i="6"/>
  <c r="K20" i="6"/>
  <c r="L20" i="6"/>
  <c r="J20" i="6"/>
  <c r="I20" i="6"/>
  <c r="M19" i="6"/>
  <c r="J19" i="6"/>
  <c r="K19" i="6"/>
  <c r="L19" i="6"/>
  <c r="I19" i="6"/>
  <c r="M18" i="6"/>
  <c r="K18" i="6"/>
  <c r="L18" i="6"/>
  <c r="J18" i="6"/>
  <c r="I18" i="6"/>
  <c r="M17" i="6"/>
  <c r="K17" i="6"/>
  <c r="L17" i="6"/>
  <c r="J17" i="6"/>
  <c r="I17" i="6"/>
  <c r="M16" i="6"/>
  <c r="J16" i="6"/>
  <c r="K16" i="6"/>
  <c r="L16" i="6"/>
  <c r="I16" i="6"/>
  <c r="M15" i="6"/>
  <c r="J15" i="6"/>
  <c r="K15" i="6"/>
  <c r="L15" i="6"/>
  <c r="I15" i="6"/>
  <c r="M14" i="6"/>
  <c r="J14" i="6"/>
  <c r="K14" i="6"/>
  <c r="L14" i="6"/>
  <c r="I14" i="6"/>
  <c r="M13" i="6"/>
  <c r="J13" i="6"/>
  <c r="K13" i="6"/>
  <c r="L13" i="6"/>
  <c r="I13" i="6"/>
  <c r="M12" i="6"/>
  <c r="J12" i="6"/>
  <c r="K12" i="6"/>
  <c r="L12" i="6"/>
  <c r="I12" i="6"/>
  <c r="M11" i="6"/>
  <c r="J11" i="6"/>
  <c r="K11" i="6"/>
  <c r="L11" i="6"/>
  <c r="I11" i="6"/>
  <c r="M10" i="6"/>
  <c r="J10" i="6"/>
  <c r="K10" i="6"/>
  <c r="L10" i="6"/>
  <c r="I10" i="6"/>
  <c r="I23" i="5"/>
  <c r="J23" i="5"/>
  <c r="K23" i="5" s="1"/>
  <c r="L23" i="5" s="1"/>
  <c r="M23" i="5"/>
  <c r="M18" i="5"/>
  <c r="J18" i="5"/>
  <c r="K18" i="5" s="1"/>
  <c r="L18" i="5" s="1"/>
  <c r="I18" i="5"/>
  <c r="I22" i="5"/>
  <c r="I24" i="5"/>
  <c r="I25" i="5"/>
  <c r="I26" i="5"/>
  <c r="I27" i="5"/>
  <c r="I10" i="5"/>
  <c r="I11" i="5"/>
  <c r="I12" i="5"/>
  <c r="I13" i="5"/>
  <c r="I14" i="5"/>
  <c r="I15" i="5"/>
  <c r="I16" i="5"/>
  <c r="I17" i="5"/>
  <c r="I19" i="5"/>
  <c r="I20" i="5"/>
  <c r="I21" i="5"/>
  <c r="M11" i="5"/>
  <c r="M12" i="5"/>
  <c r="M13" i="5"/>
  <c r="M14" i="5"/>
  <c r="M15" i="5"/>
  <c r="M16" i="5"/>
  <c r="M17" i="5"/>
  <c r="M19" i="5"/>
  <c r="M20" i="5"/>
  <c r="M21" i="5"/>
  <c r="M22" i="5"/>
  <c r="M24" i="5"/>
  <c r="M25" i="5"/>
  <c r="M26" i="5"/>
  <c r="M27" i="5"/>
  <c r="M10" i="5"/>
  <c r="J10" i="5"/>
  <c r="K10" i="5" s="1"/>
  <c r="L10" i="5" s="1"/>
  <c r="J11" i="5"/>
  <c r="K11" i="5" s="1"/>
  <c r="L11" i="5" s="1"/>
  <c r="J12" i="5"/>
  <c r="K12" i="5" s="1"/>
  <c r="L12" i="5" s="1"/>
  <c r="J13" i="5"/>
  <c r="K13" i="5" s="1"/>
  <c r="L13" i="5" s="1"/>
  <c r="J14" i="5"/>
  <c r="K14" i="5" s="1"/>
  <c r="L14" i="5" s="1"/>
  <c r="J15" i="5"/>
  <c r="K15" i="5" s="1"/>
  <c r="L15" i="5" s="1"/>
  <c r="J16" i="5"/>
  <c r="K16" i="5" s="1"/>
  <c r="L16" i="5" s="1"/>
  <c r="J17" i="5"/>
  <c r="K17" i="5" s="1"/>
  <c r="L17" i="5" s="1"/>
  <c r="J19" i="5"/>
  <c r="K19" i="5" s="1"/>
  <c r="L19" i="5" s="1"/>
  <c r="J21" i="5"/>
  <c r="K21" i="5" s="1"/>
  <c r="L21" i="5" s="1"/>
  <c r="J22" i="5"/>
  <c r="K22" i="5" s="1"/>
  <c r="L22" i="5" s="1"/>
  <c r="J24" i="5"/>
  <c r="K24" i="5" s="1"/>
  <c r="L24" i="5" s="1"/>
  <c r="J25" i="5"/>
  <c r="K25" i="5" s="1"/>
  <c r="L25" i="5" s="1"/>
  <c r="J26" i="5"/>
  <c r="K26" i="5" s="1"/>
  <c r="L26" i="5" s="1"/>
  <c r="J27" i="5"/>
  <c r="K27" i="5" s="1"/>
  <c r="L27" i="5" s="1"/>
  <c r="J20" i="5"/>
  <c r="K20" i="5" s="1"/>
  <c r="L20" i="5" s="1"/>
  <c r="P77" i="3"/>
  <c r="P76" i="3"/>
  <c r="P75" i="3"/>
  <c r="N76" i="3"/>
  <c r="N75" i="3"/>
  <c r="O74" i="3"/>
  <c r="O58" i="3"/>
  <c r="O59" i="3"/>
  <c r="P57" i="3"/>
  <c r="Q57" i="3"/>
  <c r="R57" i="3"/>
  <c r="O41" i="3"/>
  <c r="O42" i="3"/>
  <c r="P40" i="3"/>
  <c r="Q40" i="3"/>
  <c r="R40" i="3"/>
  <c r="O24" i="3"/>
  <c r="P24" i="3"/>
  <c r="Q24" i="3"/>
  <c r="R24" i="3"/>
  <c r="P23" i="3"/>
  <c r="Q23" i="3"/>
  <c r="R23" i="3"/>
  <c r="C5" i="4"/>
  <c r="C6" i="4"/>
  <c r="O76" i="3"/>
  <c r="O75" i="3"/>
  <c r="N77" i="3"/>
  <c r="O77" i="3"/>
  <c r="C7" i="4"/>
  <c r="F30" i="4"/>
  <c r="G30" i="4"/>
  <c r="B29" i="4"/>
  <c r="C29" i="4"/>
  <c r="B11" i="4"/>
  <c r="C11" i="4"/>
  <c r="B21" i="4"/>
  <c r="C21" i="4"/>
  <c r="F37" i="4"/>
  <c r="G37" i="4"/>
  <c r="B28" i="4"/>
  <c r="C28" i="4"/>
  <c r="B20" i="4"/>
  <c r="C20" i="4"/>
  <c r="B25" i="4"/>
  <c r="C25" i="4"/>
  <c r="B17" i="4"/>
  <c r="C17" i="4"/>
  <c r="B33" i="4"/>
  <c r="C33" i="4"/>
  <c r="B32" i="4"/>
  <c r="C32" i="4"/>
  <c r="B24" i="4"/>
  <c r="C24" i="4"/>
  <c r="B16" i="4"/>
  <c r="C16" i="4"/>
  <c r="F35" i="4"/>
  <c r="G35" i="4"/>
  <c r="B31" i="4"/>
  <c r="C31" i="4"/>
  <c r="B27" i="4"/>
  <c r="C27" i="4"/>
  <c r="B23" i="4"/>
  <c r="C23" i="4"/>
  <c r="B19" i="4"/>
  <c r="C19" i="4"/>
  <c r="B15" i="4"/>
  <c r="C15" i="4"/>
  <c r="B34" i="4"/>
  <c r="C34" i="4"/>
  <c r="B30" i="4"/>
  <c r="C30" i="4"/>
  <c r="B26" i="4"/>
  <c r="C26" i="4"/>
  <c r="B22" i="4"/>
  <c r="C22" i="4"/>
  <c r="B18" i="4"/>
  <c r="C18" i="4"/>
  <c r="B14" i="4"/>
  <c r="C14" i="4"/>
  <c r="O60" i="3"/>
  <c r="P59" i="3"/>
  <c r="Q59" i="3"/>
  <c r="R59" i="3"/>
  <c r="P58" i="3"/>
  <c r="Q58" i="3"/>
  <c r="R58" i="3"/>
  <c r="P42" i="3"/>
  <c r="Q42" i="3"/>
  <c r="R42" i="3"/>
  <c r="O43" i="3"/>
  <c r="P41" i="3"/>
  <c r="Q41" i="3"/>
  <c r="R41" i="3"/>
  <c r="O25" i="3"/>
  <c r="F36" i="4"/>
  <c r="G36" i="4"/>
  <c r="F32" i="4"/>
  <c r="G32" i="4"/>
  <c r="F31" i="4"/>
  <c r="G31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1" i="4"/>
  <c r="G11" i="4"/>
  <c r="F38" i="4"/>
  <c r="G38" i="4"/>
  <c r="F34" i="4"/>
  <c r="G34" i="4"/>
  <c r="F33" i="4"/>
  <c r="G33" i="4"/>
  <c r="P60" i="3"/>
  <c r="Q60" i="3"/>
  <c r="R60" i="3"/>
  <c r="O61" i="3"/>
  <c r="O44" i="3"/>
  <c r="P43" i="3"/>
  <c r="Q43" i="3"/>
  <c r="R43" i="3"/>
  <c r="O26" i="3"/>
  <c r="P25" i="3"/>
  <c r="Q25" i="3"/>
  <c r="R25" i="3"/>
  <c r="I70" i="3"/>
  <c r="J70" i="3"/>
  <c r="K70" i="3"/>
  <c r="L70" i="3"/>
  <c r="C70" i="3"/>
  <c r="C72" i="3"/>
  <c r="J69" i="3"/>
  <c r="K69" i="3"/>
  <c r="L69" i="3"/>
  <c r="D69" i="3"/>
  <c r="E69" i="3"/>
  <c r="F69" i="3"/>
  <c r="I61" i="3"/>
  <c r="I63" i="3"/>
  <c r="C61" i="3"/>
  <c r="D61" i="3"/>
  <c r="E61" i="3"/>
  <c r="F61" i="3"/>
  <c r="J60" i="3"/>
  <c r="K60" i="3"/>
  <c r="L60" i="3"/>
  <c r="D60" i="3"/>
  <c r="E60" i="3"/>
  <c r="F60" i="3"/>
  <c r="I52" i="3"/>
  <c r="J52" i="3"/>
  <c r="K52" i="3"/>
  <c r="L52" i="3"/>
  <c r="C52" i="3"/>
  <c r="J51" i="3"/>
  <c r="K51" i="3"/>
  <c r="L51" i="3"/>
  <c r="D51" i="3"/>
  <c r="E51" i="3"/>
  <c r="F51" i="3"/>
  <c r="I43" i="3"/>
  <c r="J43" i="3"/>
  <c r="K43" i="3"/>
  <c r="L43" i="3"/>
  <c r="C43" i="3"/>
  <c r="D43" i="3"/>
  <c r="E43" i="3"/>
  <c r="F43" i="3"/>
  <c r="J42" i="3"/>
  <c r="K42" i="3"/>
  <c r="L42" i="3"/>
  <c r="D42" i="3"/>
  <c r="E42" i="3"/>
  <c r="F42" i="3"/>
  <c r="C34" i="3"/>
  <c r="C35" i="3"/>
  <c r="I34" i="3"/>
  <c r="I36" i="3"/>
  <c r="J33" i="3"/>
  <c r="K33" i="3"/>
  <c r="L33" i="3"/>
  <c r="D33" i="3"/>
  <c r="E33" i="3"/>
  <c r="F33" i="3"/>
  <c r="I25" i="3"/>
  <c r="I27" i="3"/>
  <c r="C25" i="3"/>
  <c r="D25" i="3"/>
  <c r="E25" i="3"/>
  <c r="F25" i="3"/>
  <c r="J24" i="3"/>
  <c r="K24" i="3"/>
  <c r="L24" i="3"/>
  <c r="D24" i="3"/>
  <c r="E24" i="3"/>
  <c r="F24" i="3"/>
  <c r="I16" i="3"/>
  <c r="J16" i="3"/>
  <c r="K16" i="3"/>
  <c r="L16" i="3"/>
  <c r="C16" i="3"/>
  <c r="J15" i="3"/>
  <c r="K15" i="3"/>
  <c r="L15" i="3"/>
  <c r="D15" i="3"/>
  <c r="E15" i="3"/>
  <c r="F15" i="3"/>
  <c r="O7" i="3"/>
  <c r="I7" i="3"/>
  <c r="I8" i="3"/>
  <c r="C7" i="3"/>
  <c r="C8" i="3" s="1"/>
  <c r="T7" i="3"/>
  <c r="T8" i="3"/>
  <c r="T9" i="3"/>
  <c r="U9" i="3"/>
  <c r="P6" i="3"/>
  <c r="Q6" i="3"/>
  <c r="R6" i="3"/>
  <c r="U6" i="3"/>
  <c r="J6" i="3"/>
  <c r="K6" i="3"/>
  <c r="L6" i="3"/>
  <c r="D6" i="3"/>
  <c r="E6" i="3"/>
  <c r="F6" i="3" s="1"/>
  <c r="I72" i="3"/>
  <c r="I74" i="3"/>
  <c r="I71" i="3"/>
  <c r="I73" i="3"/>
  <c r="A119" i="2"/>
  <c r="B83" i="2"/>
  <c r="B119" i="2"/>
  <c r="R81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I42" i="2"/>
  <c r="N25" i="1"/>
  <c r="N26" i="1" s="1"/>
  <c r="N27" i="1" s="1"/>
  <c r="N35" i="1" s="1"/>
  <c r="N34" i="1" s="1"/>
  <c r="N18" i="1"/>
  <c r="O18" i="1"/>
  <c r="N20" i="1"/>
  <c r="N22" i="1"/>
  <c r="E22" i="1"/>
  <c r="N17" i="1"/>
  <c r="N16" i="1"/>
  <c r="N14" i="1"/>
  <c r="E14" i="1"/>
  <c r="N12" i="1"/>
  <c r="O10" i="1"/>
  <c r="N10" i="1"/>
  <c r="C83" i="2"/>
  <c r="C119" i="2"/>
  <c r="E18" i="1"/>
  <c r="C18" i="1"/>
  <c r="C62" i="3"/>
  <c r="O22" i="1"/>
  <c r="O20" i="1"/>
  <c r="N24" i="1"/>
  <c r="N23" i="1"/>
  <c r="E20" i="1"/>
  <c r="C20" i="1"/>
  <c r="D16" i="3"/>
  <c r="E16" i="3"/>
  <c r="F16" i="3"/>
  <c r="C17" i="3"/>
  <c r="C19" i="3"/>
  <c r="C53" i="3"/>
  <c r="C54" i="3"/>
  <c r="D54" i="3"/>
  <c r="E54" i="3"/>
  <c r="F54" i="3"/>
  <c r="N11" i="1"/>
  <c r="E10" i="1"/>
  <c r="O17" i="1"/>
  <c r="N13" i="1"/>
  <c r="E12" i="1"/>
  <c r="E16" i="1"/>
  <c r="O16" i="1"/>
  <c r="P16" i="1"/>
  <c r="I53" i="3"/>
  <c r="I59" i="3"/>
  <c r="J59" i="3"/>
  <c r="K59" i="3"/>
  <c r="L59" i="3"/>
  <c r="I62" i="3"/>
  <c r="I64" i="3"/>
  <c r="D83" i="2"/>
  <c r="O62" i="3"/>
  <c r="P61" i="3"/>
  <c r="Q61" i="3"/>
  <c r="R61" i="3"/>
  <c r="O45" i="3"/>
  <c r="P44" i="3"/>
  <c r="Q44" i="3"/>
  <c r="R44" i="3"/>
  <c r="P26" i="3"/>
  <c r="Q26" i="3"/>
  <c r="R26" i="3"/>
  <c r="O27" i="3"/>
  <c r="O8" i="3"/>
  <c r="I26" i="3"/>
  <c r="J72" i="3"/>
  <c r="K72" i="3"/>
  <c r="L72" i="3"/>
  <c r="D17" i="3"/>
  <c r="E17" i="3"/>
  <c r="F17" i="3"/>
  <c r="C18" i="3"/>
  <c r="D18" i="3"/>
  <c r="E18" i="3"/>
  <c r="F18" i="3"/>
  <c r="C23" i="3"/>
  <c r="D23" i="3"/>
  <c r="E23" i="3"/>
  <c r="F23" i="3"/>
  <c r="D52" i="3"/>
  <c r="E52" i="3"/>
  <c r="F52" i="3"/>
  <c r="C41" i="3"/>
  <c r="D41" i="3"/>
  <c r="E41" i="3"/>
  <c r="F41" i="3"/>
  <c r="C37" i="3"/>
  <c r="D35" i="3"/>
  <c r="E35" i="3"/>
  <c r="F35" i="3"/>
  <c r="C45" i="3"/>
  <c r="D45" i="3"/>
  <c r="E45" i="3"/>
  <c r="F45" i="3"/>
  <c r="P7" i="3"/>
  <c r="Q7" i="3"/>
  <c r="R7" i="3"/>
  <c r="J61" i="3"/>
  <c r="K61" i="3"/>
  <c r="L61" i="3"/>
  <c r="D70" i="3"/>
  <c r="E70" i="3"/>
  <c r="F70" i="3"/>
  <c r="C63" i="3"/>
  <c r="C65" i="3"/>
  <c r="D65" i="3"/>
  <c r="E65" i="3"/>
  <c r="F65" i="3"/>
  <c r="C44" i="3"/>
  <c r="D19" i="3"/>
  <c r="E19" i="3"/>
  <c r="F19" i="3"/>
  <c r="C21" i="3"/>
  <c r="D21" i="3"/>
  <c r="E21" i="3"/>
  <c r="F21" i="3"/>
  <c r="I54" i="3"/>
  <c r="I56" i="3"/>
  <c r="D34" i="3"/>
  <c r="E34" i="3"/>
  <c r="F34" i="3"/>
  <c r="J27" i="3"/>
  <c r="K27" i="3"/>
  <c r="L27" i="3"/>
  <c r="I29" i="3"/>
  <c r="C36" i="3"/>
  <c r="I77" i="3"/>
  <c r="J77" i="3"/>
  <c r="K77" i="3"/>
  <c r="L77" i="3"/>
  <c r="J74" i="3"/>
  <c r="K74" i="3"/>
  <c r="L74" i="3"/>
  <c r="I76" i="3"/>
  <c r="J76" i="3"/>
  <c r="K76" i="3"/>
  <c r="L76" i="3"/>
  <c r="J73" i="3"/>
  <c r="K73" i="3"/>
  <c r="L73" i="3"/>
  <c r="I75" i="3"/>
  <c r="J75" i="3"/>
  <c r="K75" i="3"/>
  <c r="L75" i="3"/>
  <c r="J71" i="3"/>
  <c r="K71" i="3"/>
  <c r="L71" i="3"/>
  <c r="C74" i="3"/>
  <c r="D72" i="3"/>
  <c r="E72" i="3"/>
  <c r="F72" i="3"/>
  <c r="C71" i="3"/>
  <c r="J63" i="3"/>
  <c r="K63" i="3"/>
  <c r="L63" i="3"/>
  <c r="I65" i="3"/>
  <c r="J64" i="3"/>
  <c r="K64" i="3"/>
  <c r="L64" i="3"/>
  <c r="I66" i="3"/>
  <c r="J66" i="3"/>
  <c r="K66" i="3"/>
  <c r="L66" i="3"/>
  <c r="D62" i="3"/>
  <c r="E62" i="3"/>
  <c r="F62" i="3"/>
  <c r="C64" i="3"/>
  <c r="C55" i="3"/>
  <c r="D53" i="3"/>
  <c r="E53" i="3"/>
  <c r="F53" i="3"/>
  <c r="C59" i="3"/>
  <c r="D59" i="3"/>
  <c r="E59" i="3"/>
  <c r="F59" i="3"/>
  <c r="I44" i="3"/>
  <c r="I45" i="3"/>
  <c r="C47" i="3"/>
  <c r="J36" i="3"/>
  <c r="K36" i="3"/>
  <c r="L36" i="3"/>
  <c r="I38" i="3"/>
  <c r="I10" i="3"/>
  <c r="I14" i="3"/>
  <c r="J14" i="3"/>
  <c r="K14" i="3"/>
  <c r="L14" i="3"/>
  <c r="J8" i="3"/>
  <c r="K8" i="3"/>
  <c r="L8" i="3"/>
  <c r="C68" i="3"/>
  <c r="D68" i="3"/>
  <c r="E68" i="3"/>
  <c r="F68" i="3"/>
  <c r="I17" i="3"/>
  <c r="I19" i="3"/>
  <c r="J7" i="3"/>
  <c r="K7" i="3"/>
  <c r="L7" i="3"/>
  <c r="J25" i="3"/>
  <c r="K25" i="3"/>
  <c r="L25" i="3"/>
  <c r="C26" i="3"/>
  <c r="C28" i="3"/>
  <c r="U7" i="3"/>
  <c r="C27" i="3"/>
  <c r="J34" i="3"/>
  <c r="K34" i="3"/>
  <c r="L34" i="3"/>
  <c r="I35" i="3"/>
  <c r="I37" i="3"/>
  <c r="I18" i="3"/>
  <c r="I9" i="3"/>
  <c r="U8" i="3"/>
  <c r="O24" i="1"/>
  <c r="B24" i="1"/>
  <c r="C67" i="3"/>
  <c r="D67" i="3"/>
  <c r="E67" i="3"/>
  <c r="F67" i="3"/>
  <c r="C56" i="3"/>
  <c r="J54" i="3"/>
  <c r="K54" i="3"/>
  <c r="L54" i="3"/>
  <c r="I68" i="3"/>
  <c r="J68" i="3"/>
  <c r="K68" i="3"/>
  <c r="L68" i="3"/>
  <c r="I55" i="3"/>
  <c r="I57" i="3"/>
  <c r="J57" i="3"/>
  <c r="K57" i="3"/>
  <c r="L57" i="3"/>
  <c r="D63" i="3"/>
  <c r="E63" i="3"/>
  <c r="F63" i="3"/>
  <c r="J53" i="3"/>
  <c r="K53" i="3"/>
  <c r="L53" i="3"/>
  <c r="J62" i="3"/>
  <c r="K62" i="3"/>
  <c r="L62" i="3"/>
  <c r="N28" i="1"/>
  <c r="N29" i="1"/>
  <c r="R37" i="1"/>
  <c r="R34" i="1"/>
  <c r="R20" i="1"/>
  <c r="R13" i="1"/>
  <c r="R25" i="1"/>
  <c r="R14" i="1"/>
  <c r="R3" i="1"/>
  <c r="I2" i="1"/>
  <c r="R7" i="1"/>
  <c r="R4" i="1"/>
  <c r="R36" i="1"/>
  <c r="R31" i="1"/>
  <c r="R24" i="1"/>
  <c r="R19" i="1"/>
  <c r="R10" i="1"/>
  <c r="R22" i="1"/>
  <c r="R5" i="1"/>
  <c r="R33" i="1"/>
  <c r="R18" i="1"/>
  <c r="R35" i="1"/>
  <c r="R12" i="1"/>
  <c r="R9" i="1"/>
  <c r="R28" i="1"/>
  <c r="R27" i="1"/>
  <c r="R17" i="1"/>
  <c r="R30" i="1"/>
  <c r="R6" i="1"/>
  <c r="R32" i="1"/>
  <c r="R23" i="1"/>
  <c r="R16" i="1"/>
  <c r="R11" i="1"/>
  <c r="R21" i="1"/>
  <c r="R26" i="1"/>
  <c r="R15" i="1"/>
  <c r="R29" i="1"/>
  <c r="R8" i="1"/>
  <c r="E83" i="2"/>
  <c r="D119" i="2"/>
  <c r="O63" i="3"/>
  <c r="P62" i="3"/>
  <c r="Q62" i="3"/>
  <c r="R62" i="3"/>
  <c r="O46" i="3"/>
  <c r="P45" i="3"/>
  <c r="Q45" i="3"/>
  <c r="R45" i="3"/>
  <c r="P27" i="3"/>
  <c r="Q27" i="3"/>
  <c r="R27" i="3"/>
  <c r="O28" i="3"/>
  <c r="C20" i="3"/>
  <c r="D20" i="3"/>
  <c r="E20" i="3"/>
  <c r="F20" i="3"/>
  <c r="P8" i="3"/>
  <c r="Q8" i="3"/>
  <c r="R8" i="3"/>
  <c r="O9" i="3"/>
  <c r="I28" i="3"/>
  <c r="I32" i="3"/>
  <c r="J32" i="3"/>
  <c r="K32" i="3"/>
  <c r="L32" i="3"/>
  <c r="J26" i="3"/>
  <c r="K26" i="3"/>
  <c r="L26" i="3"/>
  <c r="J19" i="3"/>
  <c r="K19" i="3"/>
  <c r="L19" i="3"/>
  <c r="I21" i="3"/>
  <c r="J21" i="3"/>
  <c r="K21" i="3"/>
  <c r="L21" i="3"/>
  <c r="D27" i="3"/>
  <c r="E27" i="3"/>
  <c r="F27" i="3"/>
  <c r="C29" i="3"/>
  <c r="J29" i="3"/>
  <c r="K29" i="3"/>
  <c r="L29" i="3"/>
  <c r="I31" i="3"/>
  <c r="J31" i="3"/>
  <c r="K31" i="3"/>
  <c r="L31" i="3"/>
  <c r="C46" i="3"/>
  <c r="C50" i="3"/>
  <c r="D50" i="3"/>
  <c r="E50" i="3"/>
  <c r="F50" i="3"/>
  <c r="D44" i="3"/>
  <c r="E44" i="3"/>
  <c r="F44" i="3"/>
  <c r="J18" i="3"/>
  <c r="K18" i="3"/>
  <c r="L18" i="3"/>
  <c r="I20" i="3"/>
  <c r="D37" i="3"/>
  <c r="E37" i="3"/>
  <c r="F37" i="3"/>
  <c r="C39" i="3"/>
  <c r="D39" i="3"/>
  <c r="E39" i="3"/>
  <c r="F39" i="3"/>
  <c r="C38" i="3"/>
  <c r="D36" i="3"/>
  <c r="E36" i="3"/>
  <c r="F36" i="3"/>
  <c r="D28" i="3"/>
  <c r="E28" i="3"/>
  <c r="F28" i="3"/>
  <c r="C30" i="3"/>
  <c r="D30" i="3"/>
  <c r="E30" i="3"/>
  <c r="F30" i="3"/>
  <c r="C73" i="3"/>
  <c r="D71" i="3"/>
  <c r="E71" i="3"/>
  <c r="F71" i="3"/>
  <c r="C77" i="3"/>
  <c r="D77" i="3"/>
  <c r="E77" i="3"/>
  <c r="F77" i="3"/>
  <c r="D74" i="3"/>
  <c r="E74" i="3"/>
  <c r="F74" i="3"/>
  <c r="C76" i="3"/>
  <c r="D76" i="3"/>
  <c r="E76" i="3"/>
  <c r="F76" i="3"/>
  <c r="J65" i="3"/>
  <c r="K65" i="3"/>
  <c r="L65" i="3"/>
  <c r="I67" i="3"/>
  <c r="J67" i="3"/>
  <c r="K67" i="3"/>
  <c r="L67" i="3"/>
  <c r="D64" i="3"/>
  <c r="E64" i="3"/>
  <c r="F64" i="3"/>
  <c r="C66" i="3"/>
  <c r="D66" i="3"/>
  <c r="E66" i="3"/>
  <c r="F66" i="3"/>
  <c r="J55" i="3"/>
  <c r="K55" i="3"/>
  <c r="L55" i="3"/>
  <c r="J56" i="3"/>
  <c r="K56" i="3"/>
  <c r="L56" i="3"/>
  <c r="I58" i="3"/>
  <c r="J58" i="3"/>
  <c r="K58" i="3"/>
  <c r="L58" i="3"/>
  <c r="D56" i="3"/>
  <c r="E56" i="3"/>
  <c r="F56" i="3"/>
  <c r="C58" i="3"/>
  <c r="D58" i="3"/>
  <c r="E58" i="3"/>
  <c r="F58" i="3"/>
  <c r="D55" i="3"/>
  <c r="E55" i="3"/>
  <c r="F55" i="3"/>
  <c r="C57" i="3"/>
  <c r="D57" i="3"/>
  <c r="E57" i="3"/>
  <c r="F57" i="3"/>
  <c r="I47" i="3"/>
  <c r="J45" i="3"/>
  <c r="K45" i="3"/>
  <c r="L45" i="3"/>
  <c r="I46" i="3"/>
  <c r="J44" i="3"/>
  <c r="K44" i="3"/>
  <c r="L44" i="3"/>
  <c r="I50" i="3"/>
  <c r="J50" i="3"/>
  <c r="K50" i="3"/>
  <c r="L50" i="3"/>
  <c r="D47" i="3"/>
  <c r="E47" i="3"/>
  <c r="F47" i="3"/>
  <c r="C49" i="3"/>
  <c r="D49" i="3"/>
  <c r="E49" i="3"/>
  <c r="F49" i="3"/>
  <c r="J37" i="3"/>
  <c r="K37" i="3"/>
  <c r="L37" i="3"/>
  <c r="I39" i="3"/>
  <c r="J39" i="3"/>
  <c r="K39" i="3"/>
  <c r="L39" i="3"/>
  <c r="J38" i="3"/>
  <c r="K38" i="3"/>
  <c r="L38" i="3"/>
  <c r="I40" i="3"/>
  <c r="J40" i="3"/>
  <c r="K40" i="3"/>
  <c r="L40" i="3"/>
  <c r="J17" i="3"/>
  <c r="K17" i="3"/>
  <c r="L17" i="3"/>
  <c r="I23" i="3"/>
  <c r="J23" i="3"/>
  <c r="K23" i="3"/>
  <c r="L23" i="3"/>
  <c r="I11" i="3"/>
  <c r="J9" i="3"/>
  <c r="K9" i="3"/>
  <c r="L9" i="3"/>
  <c r="J35" i="3"/>
  <c r="K35" i="3"/>
  <c r="L35" i="3"/>
  <c r="I41" i="3"/>
  <c r="J41" i="3"/>
  <c r="K41" i="3"/>
  <c r="L41" i="3"/>
  <c r="D26" i="3"/>
  <c r="E26" i="3"/>
  <c r="F26" i="3"/>
  <c r="C32" i="3"/>
  <c r="D32" i="3"/>
  <c r="E32" i="3"/>
  <c r="F32" i="3"/>
  <c r="J10" i="3"/>
  <c r="K10" i="3"/>
  <c r="L10" i="3"/>
  <c r="I12" i="3"/>
  <c r="J12" i="3"/>
  <c r="K12" i="3"/>
  <c r="L12" i="3"/>
  <c r="G2" i="1"/>
  <c r="O28" i="1"/>
  <c r="P28" i="1"/>
  <c r="P29" i="1"/>
  <c r="O30" i="1"/>
  <c r="P31" i="1"/>
  <c r="B28" i="1"/>
  <c r="C22" i="3"/>
  <c r="D22" i="3"/>
  <c r="E22" i="3"/>
  <c r="F22" i="3"/>
  <c r="S21" i="1"/>
  <c r="T21" i="1"/>
  <c r="T15" i="1"/>
  <c r="G15" i="1"/>
  <c r="S15" i="1"/>
  <c r="T16" i="1"/>
  <c r="U16" i="1"/>
  <c r="S16" i="1"/>
  <c r="U6" i="1"/>
  <c r="S6" i="1"/>
  <c r="I6" i="1"/>
  <c r="T6" i="1"/>
  <c r="G6" i="1"/>
  <c r="V6" i="1"/>
  <c r="W6" i="1"/>
  <c r="V27" i="1"/>
  <c r="W27" i="1"/>
  <c r="S27" i="1"/>
  <c r="G27" i="1"/>
  <c r="T27" i="1"/>
  <c r="I27" i="1"/>
  <c r="U27" i="1"/>
  <c r="U12" i="1"/>
  <c r="G12" i="1"/>
  <c r="V12" i="1"/>
  <c r="W12" i="1"/>
  <c r="S12" i="1"/>
  <c r="I12" i="1"/>
  <c r="T12" i="1"/>
  <c r="V33" i="1"/>
  <c r="W33" i="1"/>
  <c r="G33" i="1"/>
  <c r="T33" i="1"/>
  <c r="I33" i="1"/>
  <c r="U33" i="1"/>
  <c r="S33" i="1"/>
  <c r="S24" i="1"/>
  <c r="T24" i="1"/>
  <c r="S4" i="1"/>
  <c r="T4" i="1"/>
  <c r="V4" i="1"/>
  <c r="W4" i="1"/>
  <c r="I4" i="1"/>
  <c r="G4" i="1"/>
  <c r="U4" i="1"/>
  <c r="S25" i="1"/>
  <c r="T25" i="1"/>
  <c r="U26" i="1"/>
  <c r="V26" i="1"/>
  <c r="W26" i="1"/>
  <c r="G26" i="1"/>
  <c r="S26" i="1"/>
  <c r="T26" i="1"/>
  <c r="I26" i="1"/>
  <c r="S30" i="1"/>
  <c r="G30" i="1"/>
  <c r="V30" i="1"/>
  <c r="W30" i="1"/>
  <c r="T30" i="1"/>
  <c r="U30" i="1"/>
  <c r="I30" i="1"/>
  <c r="I28" i="1"/>
  <c r="T28" i="1"/>
  <c r="S28" i="1"/>
  <c r="V28" i="1"/>
  <c r="W28" i="1"/>
  <c r="G28" i="1"/>
  <c r="U28" i="1"/>
  <c r="U35" i="1"/>
  <c r="V35" i="1"/>
  <c r="W35" i="1"/>
  <c r="G35" i="1"/>
  <c r="I35" i="1"/>
  <c r="T35" i="1"/>
  <c r="S35" i="1"/>
  <c r="G5" i="1"/>
  <c r="I5" i="1"/>
  <c r="V5" i="1"/>
  <c r="W5" i="1"/>
  <c r="T5" i="1"/>
  <c r="U5" i="1"/>
  <c r="S5" i="1"/>
  <c r="S22" i="1"/>
  <c r="T22" i="1"/>
  <c r="S7" i="1"/>
  <c r="T7" i="1"/>
  <c r="G7" i="1"/>
  <c r="I7" i="1"/>
  <c r="U7" i="1"/>
  <c r="V7" i="1"/>
  <c r="W7" i="1"/>
  <c r="G13" i="1"/>
  <c r="S13" i="1"/>
  <c r="T13" i="1"/>
  <c r="V13" i="1"/>
  <c r="W13" i="1"/>
  <c r="I13" i="1"/>
  <c r="U13" i="1"/>
  <c r="U34" i="1"/>
  <c r="S34" i="1"/>
  <c r="I34" i="1"/>
  <c r="T34" i="1"/>
  <c r="G34" i="1"/>
  <c r="V34" i="1"/>
  <c r="W34" i="1"/>
  <c r="S18" i="1"/>
  <c r="T18" i="1"/>
  <c r="U10" i="1"/>
  <c r="I10" i="1"/>
  <c r="S10" i="1"/>
  <c r="T10" i="1"/>
  <c r="G10" i="1"/>
  <c r="V10" i="1"/>
  <c r="W10" i="1"/>
  <c r="S31" i="1"/>
  <c r="U31" i="1"/>
  <c r="V31" i="1"/>
  <c r="W31" i="1"/>
  <c r="G31" i="1"/>
  <c r="T31" i="1"/>
  <c r="I31" i="1"/>
  <c r="S3" i="1"/>
  <c r="T3" i="1"/>
  <c r="G3" i="1"/>
  <c r="V3" i="1"/>
  <c r="W3" i="1"/>
  <c r="U3" i="1"/>
  <c r="I3" i="1"/>
  <c r="S20" i="1"/>
  <c r="T20" i="1"/>
  <c r="T37" i="1"/>
  <c r="V37" i="1"/>
  <c r="W37" i="1"/>
  <c r="I37" i="1"/>
  <c r="U37" i="1"/>
  <c r="S37" i="1"/>
  <c r="G37" i="1"/>
  <c r="S8" i="1"/>
  <c r="G8" i="1"/>
  <c r="T8" i="1"/>
  <c r="I8" i="1"/>
  <c r="V8" i="1"/>
  <c r="W8" i="1"/>
  <c r="U8" i="1"/>
  <c r="T23" i="1"/>
  <c r="U23" i="1"/>
  <c r="S23" i="1"/>
  <c r="T29" i="1"/>
  <c r="S29" i="1"/>
  <c r="V29" i="1"/>
  <c r="W29" i="1"/>
  <c r="U29" i="1"/>
  <c r="G29" i="1"/>
  <c r="I29" i="1"/>
  <c r="S11" i="1"/>
  <c r="G11" i="1"/>
  <c r="I11" i="1"/>
  <c r="T11" i="1"/>
  <c r="U11" i="1"/>
  <c r="V11" i="1"/>
  <c r="W11" i="1"/>
  <c r="V32" i="1"/>
  <c r="W32" i="1"/>
  <c r="T32" i="1"/>
  <c r="G32" i="1"/>
  <c r="S32" i="1"/>
  <c r="U32" i="1"/>
  <c r="I32" i="1"/>
  <c r="T17" i="1"/>
  <c r="G17" i="1"/>
  <c r="S17" i="1"/>
  <c r="U9" i="1"/>
  <c r="S9" i="1"/>
  <c r="T9" i="1"/>
  <c r="G9" i="1"/>
  <c r="V9" i="1"/>
  <c r="W9" i="1"/>
  <c r="I9" i="1"/>
  <c r="S19" i="1"/>
  <c r="T19" i="1"/>
  <c r="G36" i="1"/>
  <c r="U36" i="1"/>
  <c r="S36" i="1"/>
  <c r="V36" i="1"/>
  <c r="W36" i="1"/>
  <c r="I36" i="1"/>
  <c r="T36" i="1"/>
  <c r="G14" i="1"/>
  <c r="T14" i="1"/>
  <c r="I14" i="1"/>
  <c r="V14" i="1"/>
  <c r="W14" i="1"/>
  <c r="U14" i="1"/>
  <c r="S14" i="1"/>
  <c r="N31" i="1"/>
  <c r="N33" i="1"/>
  <c r="N32" i="1"/>
  <c r="N30" i="1"/>
  <c r="N36" i="1"/>
  <c r="F83" i="2"/>
  <c r="F119" i="2"/>
  <c r="E119" i="2"/>
  <c r="P63" i="3"/>
  <c r="Q63" i="3"/>
  <c r="R63" i="3"/>
  <c r="O64" i="3"/>
  <c r="O47" i="3"/>
  <c r="P46" i="3"/>
  <c r="Q46" i="3"/>
  <c r="R46" i="3"/>
  <c r="P28" i="3"/>
  <c r="Q28" i="3"/>
  <c r="R28" i="3"/>
  <c r="O29" i="3"/>
  <c r="P9" i="3"/>
  <c r="Q9" i="3"/>
  <c r="R9" i="3"/>
  <c r="O10" i="3"/>
  <c r="I30" i="3"/>
  <c r="J30" i="3"/>
  <c r="K30" i="3"/>
  <c r="L30" i="3"/>
  <c r="J28" i="3"/>
  <c r="K28" i="3"/>
  <c r="L28" i="3"/>
  <c r="J20" i="3"/>
  <c r="K20" i="3"/>
  <c r="L20" i="3"/>
  <c r="I22" i="3"/>
  <c r="J22" i="3"/>
  <c r="K22" i="3"/>
  <c r="L22" i="3"/>
  <c r="D46" i="3"/>
  <c r="E46" i="3"/>
  <c r="F46" i="3"/>
  <c r="C48" i="3"/>
  <c r="D48" i="3"/>
  <c r="E48" i="3"/>
  <c r="F48" i="3"/>
  <c r="D29" i="3"/>
  <c r="E29" i="3"/>
  <c r="F29" i="3"/>
  <c r="C31" i="3"/>
  <c r="D31" i="3"/>
  <c r="E31" i="3"/>
  <c r="F31" i="3"/>
  <c r="D38" i="3"/>
  <c r="E38" i="3"/>
  <c r="F38" i="3"/>
  <c r="C40" i="3"/>
  <c r="D40" i="3"/>
  <c r="E40" i="3"/>
  <c r="F40" i="3"/>
  <c r="D73" i="3"/>
  <c r="E73" i="3"/>
  <c r="F73" i="3"/>
  <c r="C75" i="3"/>
  <c r="D75" i="3"/>
  <c r="E75" i="3"/>
  <c r="F75" i="3"/>
  <c r="J46" i="3"/>
  <c r="K46" i="3"/>
  <c r="L46" i="3"/>
  <c r="I48" i="3"/>
  <c r="J48" i="3"/>
  <c r="K48" i="3"/>
  <c r="L48" i="3"/>
  <c r="J47" i="3"/>
  <c r="K47" i="3"/>
  <c r="L47" i="3"/>
  <c r="I49" i="3"/>
  <c r="J49" i="3"/>
  <c r="K49" i="3"/>
  <c r="L49" i="3"/>
  <c r="I13" i="3"/>
  <c r="J13" i="3"/>
  <c r="K13" i="3"/>
  <c r="L13" i="3"/>
  <c r="J11" i="3"/>
  <c r="K11" i="3"/>
  <c r="L11" i="3"/>
  <c r="U15" i="1"/>
  <c r="V15" i="1"/>
  <c r="W15" i="1"/>
  <c r="V16" i="1"/>
  <c r="W16" i="1"/>
  <c r="U22" i="1"/>
  <c r="V22" i="1"/>
  <c r="W22" i="1"/>
  <c r="X22" i="1"/>
  <c r="Z22" i="1"/>
  <c r="G22" i="1"/>
  <c r="G19" i="1"/>
  <c r="U19" i="1"/>
  <c r="V19" i="1"/>
  <c r="W19" i="1"/>
  <c r="X19" i="1"/>
  <c r="Z19" i="1"/>
  <c r="G21" i="1"/>
  <c r="V21" i="1"/>
  <c r="W21" i="1"/>
  <c r="U21" i="1"/>
  <c r="G18" i="1"/>
  <c r="U18" i="1"/>
  <c r="V18" i="1"/>
  <c r="W18" i="1"/>
  <c r="X18" i="1"/>
  <c r="Z18" i="1"/>
  <c r="G20" i="1"/>
  <c r="U20" i="1"/>
  <c r="V20" i="1"/>
  <c r="W20" i="1"/>
  <c r="X20" i="1"/>
  <c r="Z20" i="1"/>
  <c r="G23" i="1"/>
  <c r="V23" i="1"/>
  <c r="W23" i="1"/>
  <c r="X23" i="1"/>
  <c r="Z23" i="1"/>
  <c r="G16" i="1"/>
  <c r="U17" i="1"/>
  <c r="V17" i="1"/>
  <c r="W17" i="1"/>
  <c r="X17" i="1"/>
  <c r="Z17" i="1"/>
  <c r="G25" i="1"/>
  <c r="U25" i="1"/>
  <c r="V25" i="1"/>
  <c r="W25" i="1"/>
  <c r="X25" i="1"/>
  <c r="Z25" i="1"/>
  <c r="G24" i="1"/>
  <c r="U24" i="1"/>
  <c r="V24" i="1"/>
  <c r="W24" i="1"/>
  <c r="X24" i="1"/>
  <c r="Z24" i="1"/>
  <c r="D24" i="1"/>
  <c r="D26" i="1"/>
  <c r="D25" i="1"/>
  <c r="D27" i="1"/>
  <c r="D28" i="1"/>
  <c r="AK35" i="1"/>
  <c r="AL35" i="1"/>
  <c r="J35" i="1"/>
  <c r="AK37" i="1"/>
  <c r="AL37" i="1"/>
  <c r="J37" i="1"/>
  <c r="AK31" i="1"/>
  <c r="AL31" i="1"/>
  <c r="J31" i="1"/>
  <c r="AK9" i="1"/>
  <c r="AL9" i="1"/>
  <c r="J9" i="1"/>
  <c r="AK25" i="1"/>
  <c r="AK34" i="1"/>
  <c r="AL34" i="1"/>
  <c r="J34" i="1"/>
  <c r="AK11" i="1"/>
  <c r="AL11" i="1"/>
  <c r="J11" i="1"/>
  <c r="AK6" i="1"/>
  <c r="AL6" i="1"/>
  <c r="J6" i="1"/>
  <c r="AK32" i="1"/>
  <c r="AL32" i="1"/>
  <c r="J32" i="1"/>
  <c r="AK20" i="1"/>
  <c r="AK22" i="1"/>
  <c r="AK26" i="1"/>
  <c r="AL26" i="1"/>
  <c r="J26" i="1"/>
  <c r="AK33" i="1"/>
  <c r="AL33" i="1"/>
  <c r="J33" i="1"/>
  <c r="AK30" i="1"/>
  <c r="AL30" i="1"/>
  <c r="J30" i="1"/>
  <c r="AK27" i="1"/>
  <c r="AL27" i="1"/>
  <c r="J27" i="1"/>
  <c r="AK5" i="1"/>
  <c r="AL5" i="1"/>
  <c r="J5" i="1"/>
  <c r="AK3" i="1"/>
  <c r="AL3" i="1"/>
  <c r="J3" i="1"/>
  <c r="AK18" i="1"/>
  <c r="AL18" i="1"/>
  <c r="J18" i="1"/>
  <c r="AK14" i="1"/>
  <c r="AL14" i="1"/>
  <c r="J14" i="1"/>
  <c r="AK28" i="1"/>
  <c r="AL28" i="1"/>
  <c r="J28" i="1"/>
  <c r="AK24" i="1"/>
  <c r="AK21" i="1"/>
  <c r="AL21" i="1"/>
  <c r="J21" i="1"/>
  <c r="AK15" i="1"/>
  <c r="AK10" i="1"/>
  <c r="AL10" i="1"/>
  <c r="J10" i="1"/>
  <c r="AK8" i="1"/>
  <c r="AL8" i="1"/>
  <c r="J8" i="1"/>
  <c r="AK4" i="1"/>
  <c r="AL4" i="1"/>
  <c r="J4" i="1"/>
  <c r="AK19" i="1"/>
  <c r="AK17" i="1"/>
  <c r="AK16" i="1"/>
  <c r="AK13" i="1"/>
  <c r="AL13" i="1"/>
  <c r="J13" i="1"/>
  <c r="AK29" i="1"/>
  <c r="AL29" i="1"/>
  <c r="J29" i="1"/>
  <c r="AK7" i="1"/>
  <c r="AL7" i="1"/>
  <c r="J7" i="1"/>
  <c r="AK23" i="1"/>
  <c r="AL23" i="1"/>
  <c r="J23" i="1"/>
  <c r="AK12" i="1"/>
  <c r="AL12" i="1"/>
  <c r="J12" i="1"/>
  <c r="AK36" i="1"/>
  <c r="AL36" i="1"/>
  <c r="J36" i="1"/>
  <c r="X29" i="1"/>
  <c r="Z29" i="1"/>
  <c r="X31" i="1"/>
  <c r="Z31" i="1"/>
  <c r="O32" i="1"/>
  <c r="P33" i="1"/>
  <c r="X35" i="1"/>
  <c r="Z35" i="1"/>
  <c r="X28" i="1"/>
  <c r="Z28" i="1"/>
  <c r="X6" i="1"/>
  <c r="Z6" i="1"/>
  <c r="X16" i="1"/>
  <c r="Z16" i="1"/>
  <c r="X15" i="1"/>
  <c r="Z15" i="1"/>
  <c r="X5" i="1"/>
  <c r="Z5" i="1"/>
  <c r="X4" i="1"/>
  <c r="Z4" i="1"/>
  <c r="X9" i="1"/>
  <c r="Z9" i="1"/>
  <c r="X32" i="1"/>
  <c r="Z32" i="1"/>
  <c r="X8" i="1"/>
  <c r="Z8" i="1"/>
  <c r="X34" i="1"/>
  <c r="Z34" i="1"/>
  <c r="X13" i="1"/>
  <c r="Z13" i="1"/>
  <c r="X7" i="1"/>
  <c r="Z7" i="1"/>
  <c r="X26" i="1"/>
  <c r="Z26" i="1"/>
  <c r="X21" i="1"/>
  <c r="Z21" i="1"/>
  <c r="X14" i="1"/>
  <c r="Z14" i="1"/>
  <c r="X3" i="1"/>
  <c r="Z3" i="1"/>
  <c r="X36" i="1"/>
  <c r="Z36" i="1"/>
  <c r="X11" i="1"/>
  <c r="Z11" i="1"/>
  <c r="X37" i="1"/>
  <c r="Z37" i="1"/>
  <c r="X10" i="1"/>
  <c r="Z10" i="1"/>
  <c r="P30" i="1"/>
  <c r="X30" i="1"/>
  <c r="Z30" i="1"/>
  <c r="X33" i="1"/>
  <c r="Z33" i="1"/>
  <c r="X12" i="1"/>
  <c r="Z12" i="1"/>
  <c r="X27" i="1"/>
  <c r="Z27" i="1"/>
  <c r="G83" i="2"/>
  <c r="H83" i="2"/>
  <c r="O65" i="3"/>
  <c r="P64" i="3"/>
  <c r="Q64" i="3"/>
  <c r="R64" i="3"/>
  <c r="O48" i="3"/>
  <c r="P47" i="3"/>
  <c r="Q47" i="3"/>
  <c r="R47" i="3"/>
  <c r="O30" i="3"/>
  <c r="P29" i="3"/>
  <c r="Q29" i="3"/>
  <c r="R29" i="3"/>
  <c r="P10" i="3"/>
  <c r="Q10" i="3"/>
  <c r="R10" i="3"/>
  <c r="O11" i="3"/>
  <c r="AL16" i="1"/>
  <c r="J16" i="1"/>
  <c r="AL24" i="1"/>
  <c r="J24" i="1"/>
  <c r="AL25" i="1"/>
  <c r="J25" i="1"/>
  <c r="AL20" i="1"/>
  <c r="J20" i="1"/>
  <c r="AL17" i="1"/>
  <c r="J17" i="1"/>
  <c r="AL19" i="1"/>
  <c r="J19" i="1"/>
  <c r="AL15" i="1"/>
  <c r="J15" i="1"/>
  <c r="AL22" i="1"/>
  <c r="J22" i="1"/>
  <c r="Y20" i="1"/>
  <c r="Y19" i="1"/>
  <c r="Y26" i="1"/>
  <c r="Y5" i="1"/>
  <c r="Y28" i="1"/>
  <c r="Y25" i="1"/>
  <c r="Y35" i="1"/>
  <c r="Y27" i="1"/>
  <c r="Y33" i="1"/>
  <c r="Y22" i="1"/>
  <c r="Y14" i="1"/>
  <c r="Y8" i="1"/>
  <c r="Y9" i="1"/>
  <c r="Y12" i="1"/>
  <c r="Y30" i="1"/>
  <c r="Y32" i="1"/>
  <c r="AA17" i="1"/>
  <c r="AC17" i="1"/>
  <c r="AA15" i="1"/>
  <c r="AC15" i="1"/>
  <c r="AA6" i="1"/>
  <c r="AC6" i="1"/>
  <c r="AA29" i="1"/>
  <c r="AC29" i="1"/>
  <c r="AA27" i="1"/>
  <c r="AC27" i="1"/>
  <c r="AA33" i="1"/>
  <c r="AC33" i="1"/>
  <c r="AA22" i="1"/>
  <c r="AC22" i="1"/>
  <c r="Y10" i="1"/>
  <c r="Y11" i="1"/>
  <c r="AA19" i="1"/>
  <c r="AC19" i="1"/>
  <c r="Y3" i="1"/>
  <c r="Y23" i="1"/>
  <c r="Y21" i="1"/>
  <c r="Y7" i="1"/>
  <c r="Y34" i="1"/>
  <c r="AA32" i="1"/>
  <c r="AC32" i="1"/>
  <c r="Y4" i="1"/>
  <c r="AA5" i="1"/>
  <c r="AC5" i="1"/>
  <c r="Y16" i="1"/>
  <c r="AA24" i="1"/>
  <c r="AC24" i="1"/>
  <c r="AA35" i="1"/>
  <c r="AC35" i="1"/>
  <c r="Y31" i="1"/>
  <c r="AA18" i="1"/>
  <c r="AC18" i="1"/>
  <c r="AA36" i="1"/>
  <c r="AC36" i="1"/>
  <c r="AA13" i="1"/>
  <c r="AC13" i="1"/>
  <c r="AA10" i="1"/>
  <c r="AC10" i="1"/>
  <c r="AA11" i="1"/>
  <c r="AC11" i="1"/>
  <c r="AA3" i="1"/>
  <c r="AC3" i="1"/>
  <c r="AA23" i="1"/>
  <c r="AC23" i="1"/>
  <c r="AA21" i="1"/>
  <c r="AC21" i="1"/>
  <c r="AA7" i="1"/>
  <c r="AC7" i="1"/>
  <c r="AA34" i="1"/>
  <c r="AC34" i="1"/>
  <c r="AA4" i="1"/>
  <c r="AC4" i="1"/>
  <c r="AA16" i="1"/>
  <c r="AC16" i="1"/>
  <c r="Y24" i="1"/>
  <c r="AA31" i="1"/>
  <c r="AC31" i="1"/>
  <c r="AA37" i="1"/>
  <c r="AC37" i="1"/>
  <c r="O34" i="1"/>
  <c r="P35" i="1"/>
  <c r="P34" i="1"/>
  <c r="P37" i="1"/>
  <c r="AA12" i="1"/>
  <c r="AC12" i="1"/>
  <c r="AA30" i="1"/>
  <c r="AC30" i="1"/>
  <c r="Y18" i="1"/>
  <c r="Y37" i="1"/>
  <c r="Y17" i="1"/>
  <c r="Y36" i="1"/>
  <c r="AA20" i="1"/>
  <c r="AC20" i="1"/>
  <c r="AA14" i="1"/>
  <c r="AC14" i="1"/>
  <c r="AA26" i="1"/>
  <c r="AC26" i="1"/>
  <c r="Y13" i="1"/>
  <c r="AA8" i="1"/>
  <c r="AC8" i="1"/>
  <c r="AA9" i="1"/>
  <c r="AC9" i="1"/>
  <c r="AA25" i="1"/>
  <c r="AC25" i="1"/>
  <c r="Y15" i="1"/>
  <c r="Y6" i="1"/>
  <c r="AA28" i="1"/>
  <c r="AC28" i="1"/>
  <c r="P32" i="1"/>
  <c r="Q37" i="1"/>
  <c r="Y29" i="1"/>
  <c r="G119" i="2"/>
  <c r="O66" i="3"/>
  <c r="P65" i="3"/>
  <c r="Q65" i="3"/>
  <c r="R65" i="3"/>
  <c r="O49" i="3"/>
  <c r="P48" i="3"/>
  <c r="Q48" i="3"/>
  <c r="R48" i="3"/>
  <c r="P30" i="3"/>
  <c r="Q30" i="3"/>
  <c r="R30" i="3"/>
  <c r="O31" i="3"/>
  <c r="P11" i="3"/>
  <c r="Q11" i="3"/>
  <c r="R11" i="3"/>
  <c r="O12" i="3"/>
  <c r="B26" i="1"/>
  <c r="AB32" i="1"/>
  <c r="AB19" i="1"/>
  <c r="AJ19" i="1"/>
  <c r="AB8" i="1"/>
  <c r="AJ8" i="1"/>
  <c r="AB30" i="1"/>
  <c r="AJ30" i="1"/>
  <c r="AB4" i="1"/>
  <c r="AJ4" i="1"/>
  <c r="AB11" i="1"/>
  <c r="AJ11" i="1"/>
  <c r="AB24" i="1"/>
  <c r="AJ24" i="1"/>
  <c r="AJ32" i="1"/>
  <c r="AB14" i="1"/>
  <c r="AJ14" i="1"/>
  <c r="AB37" i="1"/>
  <c r="AJ37" i="1"/>
  <c r="AB34" i="1"/>
  <c r="AJ34" i="1"/>
  <c r="AB35" i="1"/>
  <c r="AJ35" i="1"/>
  <c r="AE7" i="1"/>
  <c r="AD7" i="1"/>
  <c r="AF7" i="1"/>
  <c r="AD13" i="1"/>
  <c r="AF13" i="1"/>
  <c r="AE13" i="1"/>
  <c r="AD5" i="1"/>
  <c r="AF5" i="1"/>
  <c r="AE5" i="1"/>
  <c r="AD33" i="1"/>
  <c r="AF33" i="1"/>
  <c r="AE33" i="1"/>
  <c r="AE29" i="1"/>
  <c r="AD29" i="1"/>
  <c r="AF29" i="1"/>
  <c r="AE15" i="1"/>
  <c r="I15" i="1"/>
  <c r="AD15" i="1"/>
  <c r="AF15" i="1"/>
  <c r="AB9" i="1"/>
  <c r="AJ9" i="1"/>
  <c r="AD14" i="1"/>
  <c r="AF14" i="1"/>
  <c r="AE14" i="1"/>
  <c r="AE30" i="1"/>
  <c r="AD30" i="1"/>
  <c r="AF30" i="1"/>
  <c r="AE37" i="1"/>
  <c r="AD37" i="1"/>
  <c r="AF37" i="1"/>
  <c r="AB16" i="1"/>
  <c r="AJ16" i="1"/>
  <c r="AD34" i="1"/>
  <c r="AF34" i="1"/>
  <c r="AE34" i="1"/>
  <c r="AB21" i="1"/>
  <c r="AJ21" i="1"/>
  <c r="AB3" i="1"/>
  <c r="AJ3" i="1"/>
  <c r="AB10" i="1"/>
  <c r="AJ10" i="1"/>
  <c r="AB36" i="1"/>
  <c r="AJ36" i="1"/>
  <c r="AD24" i="1"/>
  <c r="AF24" i="1"/>
  <c r="AE24" i="1"/>
  <c r="AE19" i="1"/>
  <c r="AD19" i="1"/>
  <c r="AF19" i="1"/>
  <c r="AB22" i="1"/>
  <c r="AJ22" i="1"/>
  <c r="AB27" i="1"/>
  <c r="AJ27" i="1"/>
  <c r="AB29" i="1"/>
  <c r="AJ29" i="1"/>
  <c r="AB15" i="1"/>
  <c r="AJ15" i="1"/>
  <c r="AE28" i="1"/>
  <c r="AD28" i="1"/>
  <c r="AF28" i="1"/>
  <c r="AD23" i="1"/>
  <c r="AF23" i="1"/>
  <c r="AE23" i="1"/>
  <c r="AE18" i="1"/>
  <c r="AD18" i="1"/>
  <c r="AF18" i="1"/>
  <c r="AD9" i="1"/>
  <c r="AF9" i="1"/>
  <c r="AE9" i="1"/>
  <c r="AD26" i="1"/>
  <c r="AF26" i="1"/>
  <c r="AE26" i="1"/>
  <c r="AD20" i="1"/>
  <c r="AF20" i="1"/>
  <c r="AE20" i="1"/>
  <c r="AD12" i="1"/>
  <c r="AF12" i="1"/>
  <c r="AE12" i="1"/>
  <c r="AE31" i="1"/>
  <c r="AD31" i="1"/>
  <c r="AF31" i="1"/>
  <c r="AD16" i="1"/>
  <c r="AF16" i="1"/>
  <c r="AE16" i="1"/>
  <c r="I16" i="1"/>
  <c r="AD21" i="1"/>
  <c r="AF21" i="1"/>
  <c r="AE21" i="1"/>
  <c r="AE3" i="1"/>
  <c r="AD3" i="1"/>
  <c r="AF3" i="1"/>
  <c r="AE10" i="1"/>
  <c r="AD10" i="1"/>
  <c r="AF10" i="1"/>
  <c r="AD36" i="1"/>
  <c r="AF36" i="1"/>
  <c r="AE36" i="1"/>
  <c r="AE22" i="1"/>
  <c r="AD22" i="1"/>
  <c r="AF22" i="1"/>
  <c r="AE27" i="1"/>
  <c r="AD27" i="1"/>
  <c r="AF27" i="1"/>
  <c r="AE6" i="1"/>
  <c r="AD6" i="1"/>
  <c r="AF6" i="1"/>
  <c r="AE17" i="1"/>
  <c r="AD17" i="1"/>
  <c r="AF17" i="1"/>
  <c r="AE25" i="1"/>
  <c r="AD25" i="1"/>
  <c r="AF25" i="1"/>
  <c r="AB28" i="1"/>
  <c r="AJ28" i="1"/>
  <c r="AB25" i="1"/>
  <c r="AJ25" i="1"/>
  <c r="AE8" i="1"/>
  <c r="AD8" i="1"/>
  <c r="AF8" i="1"/>
  <c r="AB26" i="1"/>
  <c r="AJ26" i="1"/>
  <c r="AB20" i="1"/>
  <c r="AJ20" i="1"/>
  <c r="AB12" i="1"/>
  <c r="AJ12" i="1"/>
  <c r="P36" i="1"/>
  <c r="O37" i="1"/>
  <c r="O36" i="1"/>
  <c r="N37" i="1"/>
  <c r="AB31" i="1"/>
  <c r="AJ31" i="1"/>
  <c r="AE4" i="1"/>
  <c r="AD4" i="1"/>
  <c r="AF4" i="1"/>
  <c r="AB7" i="1"/>
  <c r="AJ7" i="1"/>
  <c r="AB23" i="1"/>
  <c r="AJ23" i="1"/>
  <c r="AE11" i="1"/>
  <c r="AD11" i="1"/>
  <c r="AF11" i="1"/>
  <c r="AB13" i="1"/>
  <c r="AJ13" i="1"/>
  <c r="AB18" i="1"/>
  <c r="AJ18" i="1"/>
  <c r="AE35" i="1"/>
  <c r="AD35" i="1"/>
  <c r="AF35" i="1"/>
  <c r="AB5" i="1"/>
  <c r="AJ5" i="1"/>
  <c r="AD32" i="1"/>
  <c r="AF32" i="1"/>
  <c r="AE32" i="1"/>
  <c r="AB33" i="1"/>
  <c r="AJ33" i="1"/>
  <c r="AB6" i="1"/>
  <c r="AJ6" i="1"/>
  <c r="AB17" i="1"/>
  <c r="AJ17" i="1"/>
  <c r="O67" i="3"/>
  <c r="P66" i="3"/>
  <c r="Q66" i="3"/>
  <c r="R66" i="3"/>
  <c r="O50" i="3"/>
  <c r="P49" i="3"/>
  <c r="Q49" i="3"/>
  <c r="R49" i="3"/>
  <c r="O32" i="3"/>
  <c r="P31" i="3"/>
  <c r="Q31" i="3"/>
  <c r="R31" i="3"/>
  <c r="P12" i="3"/>
  <c r="Q12" i="3"/>
  <c r="R12" i="3"/>
  <c r="O13" i="3"/>
  <c r="I17" i="1"/>
  <c r="I18" i="1"/>
  <c r="I23" i="1"/>
  <c r="I20" i="1"/>
  <c r="I22" i="1"/>
  <c r="I19" i="1"/>
  <c r="I21" i="1"/>
  <c r="I25" i="1"/>
  <c r="I24" i="1"/>
  <c r="AG4" i="1"/>
  <c r="AI4" i="1"/>
  <c r="AH4" i="1"/>
  <c r="AG25" i="1"/>
  <c r="AI25" i="1"/>
  <c r="AH25" i="1"/>
  <c r="AH10" i="1"/>
  <c r="AG10" i="1"/>
  <c r="AI10" i="1"/>
  <c r="AH16" i="1"/>
  <c r="AG16" i="1"/>
  <c r="AI16" i="1"/>
  <c r="AH37" i="1"/>
  <c r="AG37" i="1"/>
  <c r="AI37" i="1"/>
  <c r="AH21" i="1"/>
  <c r="AG21" i="1"/>
  <c r="AI21" i="1"/>
  <c r="AG31" i="1"/>
  <c r="AI31" i="1"/>
  <c r="AH31" i="1"/>
  <c r="AG19" i="1"/>
  <c r="AI19" i="1"/>
  <c r="AH19" i="1"/>
  <c r="AG14" i="1"/>
  <c r="AI14" i="1"/>
  <c r="AH14" i="1"/>
  <c r="AG29" i="1"/>
  <c r="AI29" i="1"/>
  <c r="AH29" i="1"/>
  <c r="AH13" i="1"/>
  <c r="AG13" i="1"/>
  <c r="AI13" i="1"/>
  <c r="AG35" i="1"/>
  <c r="AI35" i="1"/>
  <c r="AH35" i="1"/>
  <c r="AG6" i="1"/>
  <c r="AI6" i="1"/>
  <c r="AH6" i="1"/>
  <c r="AH26" i="1"/>
  <c r="AG26" i="1"/>
  <c r="AI26" i="1"/>
  <c r="AG24" i="1"/>
  <c r="AI24" i="1"/>
  <c r="AH24" i="1"/>
  <c r="AG32" i="1"/>
  <c r="AI32" i="1"/>
  <c r="AH32" i="1"/>
  <c r="AH17" i="1"/>
  <c r="AG17" i="1"/>
  <c r="AI17" i="1"/>
  <c r="AG27" i="1"/>
  <c r="AI27" i="1"/>
  <c r="AH27" i="1"/>
  <c r="AH3" i="1"/>
  <c r="AG3" i="1"/>
  <c r="AI3" i="1"/>
  <c r="AG20" i="1"/>
  <c r="AI20" i="1"/>
  <c r="AH20" i="1"/>
  <c r="AH9" i="1"/>
  <c r="AG9" i="1"/>
  <c r="AI9" i="1"/>
  <c r="AG23" i="1"/>
  <c r="AI23" i="1"/>
  <c r="AH23" i="1"/>
  <c r="AH34" i="1"/>
  <c r="AG34" i="1"/>
  <c r="AI34" i="1"/>
  <c r="AH30" i="1"/>
  <c r="AG30" i="1"/>
  <c r="AI30" i="1"/>
  <c r="AG5" i="1"/>
  <c r="AI5" i="1"/>
  <c r="AH5" i="1"/>
  <c r="AH7" i="1"/>
  <c r="AG7" i="1"/>
  <c r="AI7" i="1"/>
  <c r="AH11" i="1"/>
  <c r="AG11" i="1"/>
  <c r="AI11" i="1"/>
  <c r="AH8" i="1"/>
  <c r="AG8" i="1"/>
  <c r="AI8" i="1"/>
  <c r="AH22" i="1"/>
  <c r="AG22" i="1"/>
  <c r="AI22" i="1"/>
  <c r="AG12" i="1"/>
  <c r="AI12" i="1"/>
  <c r="AH12" i="1"/>
  <c r="AH33" i="1"/>
  <c r="AG33" i="1"/>
  <c r="AI33" i="1"/>
  <c r="AG36" i="1"/>
  <c r="AI36" i="1"/>
  <c r="AH36" i="1"/>
  <c r="AG18" i="1"/>
  <c r="AI18" i="1"/>
  <c r="AH18" i="1"/>
  <c r="AH28" i="1"/>
  <c r="AG28" i="1"/>
  <c r="AI28" i="1"/>
  <c r="AH15" i="1"/>
  <c r="AG15" i="1"/>
  <c r="AI15" i="1"/>
  <c r="P67" i="3"/>
  <c r="Q67" i="3"/>
  <c r="R67" i="3"/>
  <c r="O68" i="3"/>
  <c r="O51" i="3"/>
  <c r="P50" i="3"/>
  <c r="Q50" i="3"/>
  <c r="R50" i="3"/>
  <c r="P32" i="3"/>
  <c r="Q32" i="3"/>
  <c r="R32" i="3"/>
  <c r="O33" i="3"/>
  <c r="P13" i="3"/>
  <c r="Q13" i="3"/>
  <c r="R13" i="3"/>
  <c r="O14" i="3"/>
  <c r="O69" i="3"/>
  <c r="P69" i="3"/>
  <c r="Q69" i="3"/>
  <c r="R69" i="3"/>
  <c r="P68" i="3"/>
  <c r="Q68" i="3"/>
  <c r="R68" i="3"/>
  <c r="O52" i="3"/>
  <c r="P52" i="3"/>
  <c r="Q52" i="3"/>
  <c r="R52" i="3"/>
  <c r="P51" i="3"/>
  <c r="Q51" i="3"/>
  <c r="R51" i="3"/>
  <c r="O34" i="3"/>
  <c r="P33" i="3"/>
  <c r="Q33" i="3"/>
  <c r="R33" i="3"/>
  <c r="P14" i="3"/>
  <c r="Q14" i="3"/>
  <c r="R14" i="3"/>
  <c r="O15" i="3"/>
  <c r="P34" i="3"/>
  <c r="Q34" i="3"/>
  <c r="R34" i="3"/>
  <c r="O35" i="3"/>
  <c r="P35" i="3"/>
  <c r="Q35" i="3"/>
  <c r="R35" i="3"/>
  <c r="P15" i="3"/>
  <c r="Q15" i="3"/>
  <c r="R15" i="3"/>
  <c r="O16" i="3"/>
  <c r="P16" i="3"/>
  <c r="Q16" i="3"/>
  <c r="R16" i="3"/>
  <c r="O17" i="3"/>
  <c r="P17" i="3"/>
  <c r="Q17" i="3"/>
  <c r="R17" i="3"/>
  <c r="O18" i="3"/>
  <c r="P18" i="3"/>
  <c r="Q18" i="3"/>
  <c r="R18" i="3"/>
  <c r="I83" i="2"/>
  <c r="H119" i="2"/>
  <c r="E8" i="10"/>
  <c r="D7" i="10"/>
  <c r="D34" i="10"/>
  <c r="E33" i="10"/>
  <c r="F33" i="10"/>
  <c r="G33" i="10"/>
  <c r="D4" i="10"/>
  <c r="C5" i="10"/>
  <c r="B5" i="10"/>
  <c r="F10" i="15"/>
  <c r="F14" i="15"/>
  <c r="F19" i="15"/>
  <c r="F22" i="15"/>
  <c r="D10" i="15"/>
  <c r="D14" i="15"/>
  <c r="D19" i="15"/>
  <c r="D22" i="15"/>
  <c r="H10" i="15"/>
  <c r="H14" i="15"/>
  <c r="H19" i="15"/>
  <c r="H22" i="15"/>
  <c r="D15" i="15"/>
  <c r="D20" i="15"/>
  <c r="D23" i="15"/>
  <c r="H15" i="15"/>
  <c r="H20" i="15"/>
  <c r="H23" i="15"/>
  <c r="G10" i="15"/>
  <c r="G14" i="15"/>
  <c r="G19" i="15"/>
  <c r="G22" i="15"/>
  <c r="C11" i="15"/>
  <c r="C15" i="15"/>
  <c r="C20" i="15"/>
  <c r="C23" i="15"/>
  <c r="G11" i="15"/>
  <c r="G15" i="15"/>
  <c r="G20" i="15"/>
  <c r="G23" i="15"/>
  <c r="E11" i="15"/>
  <c r="E15" i="15"/>
  <c r="E20" i="15"/>
  <c r="E23" i="15"/>
  <c r="E10" i="15"/>
  <c r="E14" i="15"/>
  <c r="E19" i="15"/>
  <c r="E22" i="15"/>
  <c r="F11" i="15"/>
  <c r="F15" i="15"/>
  <c r="F20" i="15"/>
  <c r="F23" i="15"/>
  <c r="C10" i="15"/>
  <c r="C14" i="15"/>
  <c r="C19" i="15"/>
  <c r="C22" i="15"/>
  <c r="J83" i="2"/>
  <c r="I119" i="2"/>
  <c r="D8" i="10"/>
  <c r="E9" i="10"/>
  <c r="E34" i="10"/>
  <c r="F34" i="10"/>
  <c r="G34" i="10"/>
  <c r="D35" i="10"/>
  <c r="D5" i="10"/>
  <c r="C6" i="10"/>
  <c r="B6" i="10"/>
  <c r="D6" i="10"/>
  <c r="J119" i="2"/>
  <c r="K83" i="2"/>
  <c r="E10" i="10"/>
  <c r="D9" i="10"/>
  <c r="D36" i="10"/>
  <c r="E35" i="10"/>
  <c r="F35" i="10"/>
  <c r="G35" i="10"/>
  <c r="K119" i="2"/>
  <c r="L83" i="2"/>
  <c r="E11" i="10"/>
  <c r="D10" i="10"/>
  <c r="D37" i="10"/>
  <c r="E36" i="10"/>
  <c r="F36" i="10"/>
  <c r="G36" i="10"/>
  <c r="L119" i="2"/>
  <c r="M83" i="2"/>
  <c r="D11" i="10"/>
  <c r="E12" i="10"/>
  <c r="E37" i="10"/>
  <c r="F37" i="10"/>
  <c r="G37" i="10"/>
  <c r="D38" i="10"/>
  <c r="M119" i="2"/>
  <c r="N83" i="2"/>
  <c r="D12" i="10"/>
  <c r="E13" i="10"/>
  <c r="D39" i="10"/>
  <c r="E38" i="10"/>
  <c r="F38" i="10"/>
  <c r="G38" i="10"/>
  <c r="N119" i="2"/>
  <c r="O83" i="2"/>
  <c r="E14" i="10"/>
  <c r="D13" i="10"/>
  <c r="D40" i="10"/>
  <c r="E39" i="10"/>
  <c r="F39" i="10"/>
  <c r="G39" i="10"/>
  <c r="P83" i="2"/>
  <c r="O119" i="2"/>
  <c r="E15" i="10"/>
  <c r="D14" i="10"/>
  <c r="D41" i="10"/>
  <c r="E40" i="10"/>
  <c r="F40" i="10"/>
  <c r="G40" i="10"/>
  <c r="P119" i="2"/>
  <c r="Q83" i="2"/>
  <c r="E16" i="10"/>
  <c r="D15" i="10"/>
  <c r="D42" i="10"/>
  <c r="E41" i="10"/>
  <c r="F41" i="10"/>
  <c r="G41" i="10"/>
  <c r="Q119" i="2"/>
  <c r="E17" i="10"/>
  <c r="D16" i="10"/>
  <c r="D43" i="10"/>
  <c r="E42" i="10"/>
  <c r="F42" i="10"/>
  <c r="G42" i="10"/>
  <c r="D17" i="10"/>
  <c r="E18" i="10"/>
  <c r="D44" i="10"/>
  <c r="E43" i="10"/>
  <c r="F43" i="10"/>
  <c r="G43" i="10"/>
  <c r="E19" i="10"/>
  <c r="D18" i="10"/>
  <c r="D45" i="10"/>
  <c r="E44" i="10"/>
  <c r="F44" i="10"/>
  <c r="G44" i="10"/>
  <c r="D19" i="10"/>
  <c r="E20" i="10"/>
  <c r="D46" i="10"/>
  <c r="E45" i="10"/>
  <c r="F45" i="10"/>
  <c r="G45" i="10"/>
  <c r="E21" i="10"/>
  <c r="D20" i="10"/>
  <c r="E46" i="10"/>
  <c r="F46" i="10"/>
  <c r="G46" i="10"/>
  <c r="D47" i="10"/>
  <c r="D21" i="10"/>
  <c r="E22" i="10"/>
  <c r="D22" i="10"/>
  <c r="D48" i="10"/>
  <c r="E47" i="10"/>
  <c r="F47" i="10"/>
  <c r="G47" i="10"/>
  <c r="E48" i="10"/>
  <c r="F48" i="10"/>
  <c r="G48" i="10"/>
  <c r="D49" i="10"/>
  <c r="D50" i="10"/>
  <c r="E49" i="10"/>
  <c r="F49" i="10"/>
  <c r="G49" i="10"/>
  <c r="E50" i="10"/>
  <c r="F50" i="10"/>
  <c r="G50" i="10"/>
  <c r="D51" i="10"/>
  <c r="D52" i="10"/>
  <c r="E52" i="10"/>
  <c r="F52" i="10"/>
  <c r="G52" i="10"/>
  <c r="E51" i="10"/>
  <c r="F51" i="10"/>
  <c r="G51" i="10"/>
  <c r="C110" i="2"/>
  <c r="B115" i="2"/>
  <c r="C112" i="2"/>
  <c r="N95" i="2"/>
  <c r="I102" i="2"/>
  <c r="F118" i="2"/>
  <c r="J90" i="2"/>
  <c r="N110" i="2"/>
  <c r="K107" i="2"/>
  <c r="B110" i="2"/>
  <c r="H101" i="2"/>
  <c r="L96" i="2"/>
  <c r="P109" i="2"/>
  <c r="O84" i="2"/>
  <c r="D93" i="2"/>
  <c r="O106" i="2"/>
  <c r="B102" i="2"/>
  <c r="I88" i="2"/>
  <c r="I99" i="2"/>
  <c r="L103" i="2"/>
  <c r="C96" i="2"/>
  <c r="O116" i="2"/>
  <c r="G100" i="2"/>
  <c r="B93" i="2"/>
  <c r="J88" i="2"/>
  <c r="N90" i="2"/>
  <c r="N117" i="2"/>
  <c r="C88" i="2"/>
  <c r="F95" i="2"/>
  <c r="G118" i="2"/>
  <c r="B94" i="2"/>
  <c r="M87" i="2"/>
  <c r="B118" i="2"/>
  <c r="N107" i="2"/>
  <c r="H116" i="2"/>
  <c r="D112" i="2"/>
  <c r="J93" i="2"/>
  <c r="N98" i="2"/>
  <c r="C84" i="2"/>
  <c r="I87" i="2"/>
  <c r="F94" i="2"/>
  <c r="L102" i="2"/>
  <c r="P97" i="2"/>
  <c r="G115" i="2"/>
  <c r="H89" i="2"/>
  <c r="Q117" i="2"/>
  <c r="N87" i="2"/>
  <c r="G106" i="2"/>
  <c r="P98" i="2"/>
  <c r="M113" i="2"/>
  <c r="E90" i="2"/>
  <c r="G110" i="2"/>
  <c r="K91" i="2"/>
  <c r="E91" i="2"/>
  <c r="Q100" i="2"/>
  <c r="P90" i="2"/>
  <c r="E89" i="2"/>
  <c r="I115" i="2"/>
  <c r="D104" i="2"/>
  <c r="O90" i="2"/>
  <c r="K113" i="2"/>
  <c r="N96" i="2"/>
  <c r="B84" i="2"/>
  <c r="O100" i="2"/>
  <c r="H107" i="2"/>
  <c r="Q101" i="2"/>
  <c r="I107" i="2"/>
  <c r="B101" i="2"/>
  <c r="E113" i="2"/>
  <c r="D111" i="2"/>
  <c r="M88" i="2"/>
  <c r="E84" i="2"/>
  <c r="F115" i="2"/>
  <c r="B87" i="2"/>
  <c r="C103" i="2"/>
  <c r="P86" i="2"/>
  <c r="M116" i="2"/>
  <c r="N115" i="2"/>
  <c r="B95" i="2"/>
  <c r="N104" i="2"/>
  <c r="M95" i="2"/>
  <c r="H115" i="2"/>
  <c r="H97" i="2"/>
  <c r="K100" i="2"/>
  <c r="P103" i="2"/>
  <c r="D117" i="2"/>
  <c r="D115" i="2"/>
  <c r="C87" i="2"/>
  <c r="D110" i="2"/>
  <c r="D116" i="2"/>
  <c r="D85" i="2"/>
  <c r="H86" i="2"/>
  <c r="J112" i="2"/>
  <c r="N94" i="2"/>
  <c r="G96" i="2"/>
  <c r="B89" i="2"/>
  <c r="K109" i="2"/>
  <c r="O113" i="2"/>
  <c r="M102" i="2"/>
  <c r="C106" i="2"/>
  <c r="B88" i="2"/>
  <c r="M114" i="2"/>
  <c r="Q114" i="2"/>
  <c r="P94" i="2"/>
  <c r="F108" i="2"/>
  <c r="O104" i="2"/>
  <c r="I112" i="2"/>
  <c r="C95" i="2"/>
  <c r="F109" i="2"/>
  <c r="M108" i="2"/>
  <c r="G102" i="2"/>
  <c r="P99" i="2"/>
  <c r="C100" i="2"/>
  <c r="H91" i="2"/>
  <c r="J107" i="2"/>
  <c r="N112" i="2"/>
  <c r="O98" i="2"/>
  <c r="B108" i="2"/>
  <c r="F96" i="2"/>
  <c r="E116" i="2"/>
  <c r="H117" i="2"/>
  <c r="M91" i="2"/>
  <c r="D97" i="2"/>
  <c r="O117" i="2"/>
  <c r="D94" i="2"/>
  <c r="J105" i="2"/>
  <c r="O99" i="2"/>
  <c r="L98" i="2"/>
  <c r="G101" i="2"/>
  <c r="J96" i="2"/>
  <c r="G92" i="2"/>
  <c r="O101" i="2"/>
  <c r="B111" i="2"/>
  <c r="P87" i="2"/>
  <c r="D95" i="2"/>
  <c r="N84" i="2"/>
  <c r="I101" i="2"/>
  <c r="K95" i="2"/>
  <c r="C105" i="2"/>
  <c r="F90" i="2"/>
  <c r="F116" i="2"/>
  <c r="E94" i="2"/>
  <c r="K88" i="2"/>
  <c r="I89" i="2"/>
  <c r="M84" i="2"/>
  <c r="D92" i="2"/>
  <c r="Q95" i="2"/>
  <c r="K96" i="2"/>
  <c r="I92" i="2"/>
  <c r="O88" i="2"/>
  <c r="E118" i="2"/>
  <c r="Q96" i="2"/>
  <c r="I90" i="2"/>
  <c r="O87" i="2"/>
  <c r="M115" i="2"/>
  <c r="K106" i="2"/>
  <c r="H113" i="2"/>
  <c r="E105" i="2"/>
  <c r="I117" i="2"/>
  <c r="D114" i="2"/>
  <c r="O112" i="2"/>
  <c r="E95" i="2"/>
  <c r="B97" i="2"/>
  <c r="M109" i="2"/>
  <c r="G95" i="2"/>
  <c r="P107" i="2"/>
  <c r="J101" i="2"/>
  <c r="G117" i="2"/>
  <c r="H108" i="2"/>
  <c r="N105" i="2"/>
  <c r="J84" i="2"/>
  <c r="I106" i="2"/>
  <c r="I108" i="2"/>
  <c r="F111" i="2"/>
  <c r="F86" i="2"/>
  <c r="G114" i="2"/>
  <c r="K114" i="2"/>
  <c r="O109" i="2"/>
  <c r="C89" i="2"/>
  <c r="C113" i="2"/>
  <c r="L94" i="2"/>
  <c r="P96" i="2"/>
  <c r="E112" i="2"/>
  <c r="D96" i="2"/>
  <c r="J114" i="2"/>
  <c r="N91" i="2"/>
  <c r="E114" i="2"/>
  <c r="Q94" i="2"/>
  <c r="J94" i="2"/>
  <c r="Q91" i="2"/>
  <c r="J117" i="2"/>
  <c r="D84" i="2"/>
  <c r="G91" i="2"/>
  <c r="P84" i="2"/>
  <c r="F107" i="2"/>
  <c r="P91" i="2"/>
  <c r="D87" i="2"/>
  <c r="G111" i="2"/>
  <c r="K111" i="2"/>
  <c r="O103" i="2"/>
  <c r="Q107" i="2"/>
  <c r="C118" i="2"/>
  <c r="O85" i="2"/>
  <c r="F89" i="2"/>
  <c r="D91" i="2"/>
  <c r="O92" i="2"/>
  <c r="E109" i="2"/>
  <c r="I110" i="2"/>
  <c r="F113" i="2"/>
  <c r="H112" i="2"/>
  <c r="K101" i="2"/>
  <c r="O89" i="2"/>
  <c r="Q116" i="2"/>
  <c r="C99" i="2"/>
  <c r="D102" i="2"/>
  <c r="M101" i="2"/>
  <c r="Q111" i="2"/>
  <c r="H85" i="2"/>
  <c r="J106" i="2"/>
  <c r="N108" i="2"/>
  <c r="D106" i="2"/>
  <c r="E108" i="2"/>
  <c r="K105" i="2"/>
  <c r="O107" i="2"/>
  <c r="E103" i="2"/>
  <c r="G89" i="2"/>
  <c r="L87" i="2"/>
  <c r="P101" i="2"/>
  <c r="E98" i="2"/>
  <c r="I91" i="2"/>
  <c r="J110" i="2"/>
  <c r="N100" i="2"/>
  <c r="K110" i="2"/>
  <c r="B85" i="2"/>
  <c r="J118" i="2"/>
  <c r="Q112" i="2"/>
  <c r="K104" i="2"/>
  <c r="B105" i="2"/>
  <c r="C104" i="2"/>
  <c r="Q93" i="2"/>
  <c r="J103" i="2"/>
  <c r="Q86" i="2"/>
  <c r="B86" i="2"/>
  <c r="H105" i="2"/>
  <c r="L107" i="2"/>
  <c r="P100" i="2"/>
  <c r="Q109" i="2"/>
  <c r="J109" i="2"/>
  <c r="C117" i="2"/>
  <c r="F102" i="2"/>
  <c r="J116" i="2"/>
  <c r="P110" i="2"/>
  <c r="G104" i="2"/>
  <c r="F103" i="2"/>
  <c r="C86" i="2"/>
  <c r="I80" i="2"/>
  <c r="L91" i="2"/>
  <c r="P104" i="2"/>
  <c r="C97" i="2"/>
  <c r="H88" i="2"/>
  <c r="J108" i="2"/>
  <c r="N97" i="2"/>
  <c r="I98" i="2"/>
  <c r="E102" i="2"/>
  <c r="J100" i="2"/>
  <c r="N103" i="2"/>
  <c r="G105" i="2"/>
  <c r="C94" i="2"/>
  <c r="L99" i="2"/>
  <c r="P85" i="2"/>
  <c r="B104" i="2"/>
  <c r="H104" i="2"/>
  <c r="L100" i="2"/>
  <c r="P89" i="2"/>
  <c r="B114" i="2"/>
  <c r="G113" i="2"/>
  <c r="J92" i="2"/>
  <c r="N118" i="2"/>
  <c r="K86" i="2"/>
  <c r="C102" i="2"/>
  <c r="K93" i="2"/>
  <c r="K115" i="2"/>
  <c r="N113" i="2"/>
  <c r="E100" i="2"/>
  <c r="F105" i="2"/>
  <c r="K118" i="2"/>
  <c r="B106" i="2"/>
  <c r="L90" i="2"/>
  <c r="E111" i="2"/>
  <c r="C98" i="2"/>
  <c r="F114" i="2"/>
  <c r="L84" i="2"/>
  <c r="F100" i="2"/>
  <c r="O108" i="2"/>
  <c r="H95" i="2"/>
  <c r="I118" i="2"/>
  <c r="E115" i="2"/>
  <c r="F110" i="2"/>
  <c r="L118" i="2"/>
  <c r="P111" i="2"/>
  <c r="H90" i="2"/>
  <c r="D109" i="2"/>
  <c r="M85" i="2"/>
  <c r="Q105" i="2"/>
  <c r="H94" i="2"/>
  <c r="C85" i="2"/>
  <c r="K85" i="2"/>
  <c r="O114" i="2"/>
  <c r="L114" i="2"/>
  <c r="B92" i="2"/>
  <c r="K99" i="2"/>
  <c r="N114" i="2"/>
  <c r="P92" i="2"/>
  <c r="H87" i="2"/>
  <c r="J86" i="2"/>
  <c r="I84" i="2"/>
  <c r="L115" i="2"/>
  <c r="C90" i="2"/>
  <c r="E93" i="2"/>
  <c r="D118" i="2"/>
  <c r="L109" i="2"/>
  <c r="Q85" i="2"/>
  <c r="E110" i="2"/>
  <c r="L85" i="2"/>
  <c r="D103" i="2"/>
  <c r="I104" i="2"/>
  <c r="J87" i="2"/>
  <c r="Q108" i="2"/>
  <c r="J97" i="2"/>
  <c r="J113" i="2"/>
  <c r="F112" i="2"/>
  <c r="D86" i="2"/>
  <c r="L105" i="2"/>
  <c r="P108" i="2"/>
  <c r="E87" i="2"/>
  <c r="C109" i="2"/>
  <c r="J91" i="2"/>
  <c r="N106" i="2"/>
  <c r="E92" i="2"/>
  <c r="G90" i="2"/>
  <c r="K94" i="2"/>
  <c r="O102" i="2"/>
  <c r="M100" i="2"/>
  <c r="H109" i="2"/>
  <c r="L88" i="2"/>
  <c r="P95" i="2"/>
  <c r="B90" i="2"/>
  <c r="G98" i="2"/>
  <c r="M98" i="2"/>
  <c r="Q106" i="2"/>
  <c r="I96" i="2"/>
  <c r="H100" i="2"/>
  <c r="K102" i="2"/>
  <c r="O91" i="2"/>
  <c r="M99" i="2"/>
  <c r="G108" i="2"/>
  <c r="L113" i="2"/>
  <c r="O115" i="2"/>
  <c r="Q92" i="2"/>
  <c r="E106" i="2"/>
  <c r="J111" i="2"/>
  <c r="D100" i="2"/>
  <c r="L104" i="2"/>
  <c r="J102" i="2"/>
  <c r="E96" i="2"/>
  <c r="I86" i="2"/>
  <c r="M97" i="2"/>
  <c r="Q99" i="2"/>
  <c r="B112" i="2"/>
  <c r="M110" i="2"/>
  <c r="I97" i="2"/>
  <c r="E117" i="2"/>
  <c r="K112" i="2"/>
  <c r="B107" i="2"/>
  <c r="J99" i="2"/>
  <c r="L89" i="2"/>
  <c r="G112" i="2"/>
  <c r="G116" i="2"/>
  <c r="Q88" i="2"/>
  <c r="D88" i="2"/>
  <c r="F104" i="2"/>
  <c r="K103" i="2"/>
  <c r="O111" i="2"/>
  <c r="G84" i="2"/>
  <c r="D108" i="2"/>
  <c r="K89" i="2"/>
  <c r="O105" i="2"/>
  <c r="D98" i="2"/>
  <c r="Q89" i="2"/>
  <c r="H106" i="2"/>
  <c r="E88" i="2"/>
  <c r="F92" i="2"/>
  <c r="M86" i="2"/>
  <c r="P88" i="2"/>
  <c r="H93" i="2"/>
  <c r="I93" i="2"/>
  <c r="P102" i="2"/>
  <c r="M105" i="2"/>
  <c r="K116" i="2"/>
  <c r="B100" i="2"/>
  <c r="M103" i="2"/>
  <c r="O118" i="2"/>
  <c r="P117" i="2"/>
  <c r="N109" i="2"/>
  <c r="K87" i="2"/>
  <c r="E99" i="2"/>
  <c r="L101" i="2"/>
  <c r="C114" i="2"/>
  <c r="H96" i="2"/>
  <c r="P93" i="2"/>
  <c r="H110" i="2"/>
  <c r="G86" i="2"/>
  <c r="M92" i="2"/>
  <c r="Q98" i="2"/>
  <c r="E85" i="2"/>
  <c r="F117" i="2"/>
  <c r="M112" i="2"/>
  <c r="B98" i="2"/>
  <c r="I113" i="2"/>
  <c r="F84" i="2"/>
  <c r="K92" i="2"/>
  <c r="O97" i="2"/>
  <c r="M96" i="2"/>
  <c r="D90" i="2"/>
  <c r="M104" i="2"/>
  <c r="P118" i="2"/>
  <c r="F106" i="2"/>
  <c r="B116" i="2"/>
  <c r="J98" i="2"/>
  <c r="F101" i="2"/>
  <c r="M106" i="2"/>
  <c r="L117" i="2"/>
  <c r="G88" i="2"/>
  <c r="I105" i="2"/>
  <c r="M117" i="2"/>
  <c r="Q110" i="2"/>
  <c r="F87" i="2"/>
  <c r="N89" i="2"/>
  <c r="C91" i="2"/>
  <c r="C108" i="2"/>
  <c r="L106" i="2"/>
  <c r="G97" i="2"/>
  <c r="K108" i="2"/>
  <c r="N86" i="2"/>
  <c r="I100" i="2"/>
  <c r="H84" i="2"/>
  <c r="M89" i="2"/>
  <c r="Q113" i="2"/>
  <c r="F98" i="2"/>
  <c r="D107" i="2"/>
  <c r="K84" i="2"/>
  <c r="O93" i="2"/>
  <c r="I114" i="2"/>
  <c r="I109" i="2"/>
  <c r="K97" i="2"/>
  <c r="P105" i="2"/>
  <c r="Q115" i="2"/>
  <c r="C107" i="2"/>
  <c r="M90" i="2"/>
  <c r="Q102" i="2"/>
  <c r="C115" i="2"/>
  <c r="J85" i="2"/>
  <c r="N99" i="2"/>
  <c r="H98" i="2"/>
  <c r="D101" i="2"/>
  <c r="L110" i="2"/>
  <c r="N92" i="2"/>
  <c r="C111" i="2"/>
  <c r="M118" i="2"/>
  <c r="C92" i="2"/>
  <c r="K98" i="2"/>
  <c r="O95" i="2"/>
  <c r="B117" i="2"/>
  <c r="I82" i="2"/>
  <c r="L111" i="2"/>
  <c r="I111" i="2"/>
  <c r="Q97" i="2"/>
  <c r="L112" i="2"/>
  <c r="B109" i="2"/>
  <c r="D113" i="2"/>
  <c r="B91" i="2"/>
  <c r="M107" i="2"/>
  <c r="Q84" i="2"/>
  <c r="I116" i="2"/>
  <c r="J95" i="2"/>
  <c r="N102" i="2"/>
  <c r="D99" i="2"/>
  <c r="F85" i="2"/>
  <c r="G109" i="2"/>
  <c r="L95" i="2"/>
  <c r="P113" i="2"/>
  <c r="O86" i="2"/>
  <c r="B99" i="2"/>
  <c r="N93" i="2"/>
  <c r="H102" i="2"/>
  <c r="H103" i="2"/>
  <c r="C116" i="2"/>
  <c r="L108" i="2"/>
  <c r="G103" i="2"/>
  <c r="N116" i="2"/>
  <c r="F97" i="2"/>
  <c r="F88" i="2"/>
  <c r="J89" i="2"/>
  <c r="N101" i="2"/>
  <c r="M94" i="2"/>
  <c r="G85" i="2"/>
  <c r="I85" i="2"/>
  <c r="B96" i="2"/>
  <c r="H111" i="2"/>
  <c r="L93" i="2"/>
  <c r="H99" i="2"/>
  <c r="L116" i="2"/>
  <c r="C101" i="2"/>
  <c r="F93" i="2"/>
  <c r="J104" i="2"/>
  <c r="N85" i="2"/>
  <c r="G93" i="2"/>
  <c r="D105" i="2"/>
  <c r="D89" i="2"/>
  <c r="L92" i="2"/>
  <c r="P112" i="2"/>
  <c r="B103" i="2"/>
  <c r="G107" i="2"/>
  <c r="L86" i="2"/>
  <c r="P106" i="2"/>
  <c r="L97" i="2"/>
  <c r="I103" i="2"/>
  <c r="E104" i="2"/>
  <c r="I95" i="2"/>
  <c r="Q104" i="2"/>
  <c r="N111" i="2"/>
  <c r="P114" i="2"/>
  <c r="M111" i="2"/>
  <c r="F99" i="2"/>
  <c r="E86" i="2"/>
  <c r="Q118" i="2"/>
  <c r="O110" i="2"/>
  <c r="F91" i="2"/>
  <c r="Q103" i="2"/>
  <c r="H114" i="2"/>
  <c r="M93" i="2"/>
  <c r="O94" i="2"/>
  <c r="K90" i="2"/>
  <c r="G87" i="2"/>
  <c r="Q87" i="2"/>
  <c r="P116" i="2"/>
  <c r="I94" i="2"/>
  <c r="C93" i="2"/>
  <c r="O96" i="2"/>
  <c r="H118" i="2"/>
  <c r="E107" i="2"/>
  <c r="K117" i="2"/>
  <c r="B113" i="2"/>
  <c r="Q90" i="2"/>
  <c r="E101" i="2"/>
  <c r="G94" i="2"/>
  <c r="G99" i="2"/>
  <c r="H92" i="2"/>
  <c r="P115" i="2"/>
  <c r="J115" i="2"/>
  <c r="N88" i="2"/>
  <c r="E97" i="2"/>
  <c r="D7" i="3" l="1"/>
  <c r="E7" i="3" s="1"/>
  <c r="F7" i="3" s="1"/>
  <c r="C9" i="3"/>
  <c r="O25" i="1"/>
  <c r="O26" i="1"/>
  <c r="C10" i="3"/>
  <c r="D8" i="3"/>
  <c r="E8" i="3" s="1"/>
  <c r="F8" i="3" s="1"/>
  <c r="C14" i="3"/>
  <c r="D14" i="3" s="1"/>
  <c r="E14" i="3" s="1"/>
  <c r="F14" i="3" s="1"/>
  <c r="C11" i="3" l="1"/>
  <c r="D9" i="3"/>
  <c r="E9" i="3" s="1"/>
  <c r="F9" i="3" s="1"/>
  <c r="C12" i="3"/>
  <c r="D12" i="3" s="1"/>
  <c r="E12" i="3" s="1"/>
  <c r="F12" i="3" s="1"/>
  <c r="D10" i="3"/>
  <c r="E10" i="3" s="1"/>
  <c r="F10" i="3" s="1"/>
  <c r="D11" i="3" l="1"/>
  <c r="E11" i="3" s="1"/>
  <c r="F11" i="3" s="1"/>
  <c r="C13" i="3"/>
  <c r="D13" i="3" s="1"/>
  <c r="E13" i="3" s="1"/>
  <c r="F13" i="3" s="1"/>
</calcChain>
</file>

<file path=xl/sharedStrings.xml><?xml version="1.0" encoding="utf-8"?>
<sst xmlns="http://schemas.openxmlformats.org/spreadsheetml/2006/main" count="868" uniqueCount="369">
  <si>
    <t>SARCCs</t>
  </si>
  <si>
    <t xml:space="preserve"> &amp; Marine Radio Bases</t>
  </si>
  <si>
    <t xml:space="preserve">  SOUTHPORT</t>
  </si>
  <si>
    <t>Base</t>
  </si>
  <si>
    <t xml:space="preserve">  POINT DANGER</t>
  </si>
  <si>
    <t xml:space="preserve">  KINGSCLIFF</t>
  </si>
  <si>
    <t>Vessel</t>
  </si>
  <si>
    <t xml:space="preserve">  Brunswick Heads</t>
  </si>
  <si>
    <t xml:space="preserve">  Cape Byron</t>
  </si>
  <si>
    <t xml:space="preserve">     Commencing :-</t>
  </si>
  <si>
    <t xml:space="preserve">  BALLINA</t>
  </si>
  <si>
    <t xml:space="preserve">  Evans Head</t>
  </si>
  <si>
    <t>Year</t>
  </si>
  <si>
    <t xml:space="preserve">  YYYY </t>
  </si>
  <si>
    <t xml:space="preserve">  ILUKA-YAMBA</t>
  </si>
  <si>
    <t xml:space="preserve"> </t>
  </si>
  <si>
    <t xml:space="preserve">  Wooli</t>
  </si>
  <si>
    <t>Month</t>
  </si>
  <si>
    <t xml:space="preserve">  MM</t>
  </si>
  <si>
    <t xml:space="preserve">  Woolgoola</t>
  </si>
  <si>
    <t xml:space="preserve">  COFFS HARBOUR</t>
  </si>
  <si>
    <t>Day</t>
  </si>
  <si>
    <t xml:space="preserve">  DD</t>
  </si>
  <si>
    <t xml:space="preserve">  Trial Bay</t>
  </si>
  <si>
    <t xml:space="preserve">  PORT MACQUARIE</t>
  </si>
  <si>
    <t>Time</t>
  </si>
  <si>
    <t xml:space="preserve">  hhmm (24 hour)</t>
  </si>
  <si>
    <t xml:space="preserve">  Camden Haven</t>
  </si>
  <si>
    <t xml:space="preserve">  Crowdy-Harrington</t>
  </si>
  <si>
    <t>From (1-35)</t>
  </si>
  <si>
    <t xml:space="preserve">  </t>
  </si>
  <si>
    <t xml:space="preserve">  FORSTER-TUNCURRY</t>
  </si>
  <si>
    <t xml:space="preserve">  PORT STEPHENS</t>
  </si>
  <si>
    <t>To (1-35)</t>
  </si>
  <si>
    <t xml:space="preserve">  Newcastle</t>
  </si>
  <si>
    <t xml:space="preserve">  SWANSEA</t>
  </si>
  <si>
    <t>Av. Speed</t>
  </si>
  <si>
    <t xml:space="preserve">  knots</t>
  </si>
  <si>
    <t xml:space="preserve">  Norah Head</t>
  </si>
  <si>
    <t xml:space="preserve">  Terrigal</t>
  </si>
  <si>
    <t>Distance</t>
  </si>
  <si>
    <t xml:space="preserve">  nautical miles</t>
  </si>
  <si>
    <t xml:space="preserve">  Broken Bay</t>
  </si>
  <si>
    <t xml:space="preserve">  SYDNEY</t>
  </si>
  <si>
    <t>E.T.A.</t>
  </si>
  <si>
    <t xml:space="preserve">  DD hhmm</t>
  </si>
  <si>
    <t xml:space="preserve">  Botany Bay</t>
  </si>
  <si>
    <t xml:space="preserve">  Port Hacking</t>
  </si>
  <si>
    <t>Duration</t>
  </si>
  <si>
    <t xml:space="preserve">  hours</t>
  </si>
  <si>
    <t xml:space="preserve">  PORT KEMBLA</t>
  </si>
  <si>
    <t>hr min</t>
  </si>
  <si>
    <t>Press F9 to update current status</t>
  </si>
  <si>
    <t xml:space="preserve">  SHOALHAVEN</t>
  </si>
  <si>
    <t>min</t>
  </si>
  <si>
    <t xml:space="preserve">  INSTRUCTIONS :</t>
  </si>
  <si>
    <t xml:space="preserve">  Jervis Bay</t>
  </si>
  <si>
    <t xml:space="preserve">  Enter voyage plan data in cells as indicated.  When all</t>
  </si>
  <si>
    <t xml:space="preserve">  ULLADULLA</t>
  </si>
  <si>
    <t>hr</t>
  </si>
  <si>
    <t xml:space="preserve">  valid data is entered, distance, duration and ETA will be</t>
  </si>
  <si>
    <t xml:space="preserve">  Kioloa</t>
  </si>
  <si>
    <t>day hr</t>
  </si>
  <si>
    <t xml:space="preserve">  displayed above.  (Adjust Average Speed to obtain desired</t>
  </si>
  <si>
    <t xml:space="preserve">  BATEMANS BAY</t>
  </si>
  <si>
    <t>day</t>
  </si>
  <si>
    <t xml:space="preserve">  duration.)  Time and ETAbeam intermediate SARCCs and</t>
  </si>
  <si>
    <t xml:space="preserve">  NAROOMA</t>
  </si>
  <si>
    <t>mon day</t>
  </si>
  <si>
    <t xml:space="preserve">  reporting points will also be displayed next to entry in</t>
  </si>
  <si>
    <t xml:space="preserve">  Bermagui</t>
  </si>
  <si>
    <t>mon</t>
  </si>
  <si>
    <t xml:space="preserve">  base reference table.  Valid for years 2001 to 2050 and</t>
  </si>
  <si>
    <t xml:space="preserve">  Merimbula</t>
  </si>
  <si>
    <t>yr mon</t>
  </si>
  <si>
    <t xml:space="preserve">  speeds over 1 knot.  ETAs shown to nearest half hour.</t>
  </si>
  <si>
    <t xml:space="preserve">  EDEN</t>
  </si>
  <si>
    <t>yr</t>
  </si>
  <si>
    <t xml:space="preserve">  Version 1.4  -   7th January 2009</t>
  </si>
  <si>
    <t>INTER-SARCC DISTANCE CHART</t>
  </si>
  <si>
    <t>Password:</t>
  </si>
  <si>
    <t xml:space="preserve">           Distance (n.miles) from Port of Departure to Destination Port or Reporting Position</t>
  </si>
  <si>
    <t>marinerescue</t>
  </si>
  <si>
    <t>Eden</t>
  </si>
  <si>
    <t>Narooma</t>
  </si>
  <si>
    <t>B'mans Bay</t>
  </si>
  <si>
    <t>Ulladulla</t>
  </si>
  <si>
    <t>Shoalhvn</t>
  </si>
  <si>
    <t>Pt Kembla</t>
  </si>
  <si>
    <t>Sydney</t>
  </si>
  <si>
    <t>Swansea</t>
  </si>
  <si>
    <t>Pt Stephens</t>
  </si>
  <si>
    <t>For-Tun</t>
  </si>
  <si>
    <t>Pt Mac</t>
  </si>
  <si>
    <t>Coffs Hbr</t>
  </si>
  <si>
    <t>Iluka/Yam</t>
  </si>
  <si>
    <t>Ballina</t>
  </si>
  <si>
    <t>Kingscliff</t>
  </si>
  <si>
    <t>Pt Danger</t>
  </si>
  <si>
    <t>Southport</t>
  </si>
  <si>
    <t>Brunswick Hds</t>
  </si>
  <si>
    <t>Cape Byron</t>
  </si>
  <si>
    <t>Evans Head</t>
  </si>
  <si>
    <t>Iluka/Yamba</t>
  </si>
  <si>
    <t>Wooli</t>
  </si>
  <si>
    <t>Woolgoola</t>
  </si>
  <si>
    <t>Coffs Harbour</t>
  </si>
  <si>
    <t>Trial Bay</t>
  </si>
  <si>
    <t>Pt Macquarie</t>
  </si>
  <si>
    <t>Camden Haven</t>
  </si>
  <si>
    <t>Crowdy-Harrington</t>
  </si>
  <si>
    <t>Forster-Tuncurry</t>
  </si>
  <si>
    <t>Newcastle</t>
  </si>
  <si>
    <t>Norah Head</t>
  </si>
  <si>
    <t>Terrigal</t>
  </si>
  <si>
    <t>Broken Bay</t>
  </si>
  <si>
    <t>Botany Bay</t>
  </si>
  <si>
    <t>Pt Hacking</t>
  </si>
  <si>
    <t>Shoalhaven</t>
  </si>
  <si>
    <t>Jervis Bay</t>
  </si>
  <si>
    <t>Kioloa</t>
  </si>
  <si>
    <t>Batemans Bay</t>
  </si>
  <si>
    <t>Bermagui</t>
  </si>
  <si>
    <t>Merimbula</t>
  </si>
  <si>
    <t>INTER-SARCC TIME CHART</t>
  </si>
  <si>
    <t>Set estimated average speed</t>
  </si>
  <si>
    <t>Set knots for first column     =</t>
  </si>
  <si>
    <t>Set knot increment per column     =</t>
  </si>
  <si>
    <t>Set SARCC (B through Q)  =</t>
  </si>
  <si>
    <t>SPEED (knots)</t>
  </si>
  <si>
    <t>Update distance in YELLOW field only</t>
  </si>
  <si>
    <t>Speed</t>
  </si>
  <si>
    <t>Hours</t>
  </si>
  <si>
    <t>mins</t>
  </si>
  <si>
    <t>Min/Sec</t>
  </si>
  <si>
    <t>COG</t>
  </si>
  <si>
    <t>Magnetic</t>
  </si>
  <si>
    <t>VAR</t>
  </si>
  <si>
    <r>
      <t xml:space="preserve">Range </t>
    </r>
    <r>
      <rPr>
        <sz val="11"/>
        <color theme="1"/>
        <rFont val="Calibri"/>
        <family val="2"/>
        <scheme val="minor"/>
      </rPr>
      <t>Return Trip</t>
    </r>
  </si>
  <si>
    <t>Range</t>
  </si>
  <si>
    <t>NM / L</t>
  </si>
  <si>
    <t>L / NM</t>
  </si>
  <si>
    <t>Direct Entry Below</t>
  </si>
  <si>
    <t>Password: "marinerescue"</t>
  </si>
  <si>
    <t>Fuel to use:</t>
  </si>
  <si>
    <t>Only Yellow cells are editable</t>
  </si>
  <si>
    <t>Less Safety Factor:</t>
  </si>
  <si>
    <t>Notes:</t>
  </si>
  <si>
    <t>Total Fuel:</t>
  </si>
  <si>
    <t>% reserve (safety margin)</t>
  </si>
  <si>
    <t>Vessel Fuel to Distance Calculator</t>
  </si>
  <si>
    <t>Enter Vessel Fuel Available</t>
  </si>
  <si>
    <t>Idle</t>
  </si>
  <si>
    <t>Return Range</t>
  </si>
  <si>
    <t>Both Engines</t>
  </si>
  <si>
    <t>Port Only</t>
  </si>
  <si>
    <t>Engine RPM</t>
  </si>
  <si>
    <t>Fuel on board</t>
  </si>
  <si>
    <t>P  -  O  -  B</t>
  </si>
  <si>
    <t>Date of test</t>
  </si>
  <si>
    <t>Vessel Range Calculator work sheet</t>
  </si>
  <si>
    <t>Speed Distance Time Calc, edit distance-time cals automatically</t>
  </si>
  <si>
    <t>Distance @ speed = Time</t>
  </si>
  <si>
    <t>Search and Rescue True/Magnetic Courses</t>
  </si>
  <si>
    <t>Update first course in YELLOW</t>
  </si>
  <si>
    <t>Enter first course of search pattern. Remaining courses populate with 90 degree offsets and give magnetic courses based on entered variation (to nearest degree)</t>
  </si>
  <si>
    <t>Port Jackson 31</t>
  </si>
  <si>
    <t>Enter Fuel On Board to calculate time to empty</t>
  </si>
  <si>
    <t>STB Only</t>
  </si>
  <si>
    <r>
      <t xml:space="preserve">Fuel Flow Rate - </t>
    </r>
    <r>
      <rPr>
        <b/>
        <sz val="14"/>
        <color theme="1"/>
        <rFont val="Calibri"/>
        <family val="2"/>
        <scheme val="minor"/>
      </rPr>
      <t>Litres per hour</t>
    </r>
    <r>
      <rPr>
        <sz val="14"/>
        <color theme="1"/>
        <rFont val="Calibri"/>
        <family val="2"/>
        <scheme val="minor"/>
      </rPr>
      <t xml:space="preserve"> - View on AXIOM</t>
    </r>
  </si>
  <si>
    <r>
      <t>Range</t>
    </r>
    <r>
      <rPr>
        <sz val="8"/>
        <color theme="1"/>
        <rFont val="Calibri"/>
        <family val="2"/>
        <scheme val="minor"/>
      </rPr>
      <t xml:space="preserve"> (both engines)</t>
    </r>
  </si>
  <si>
    <t>NM</t>
  </si>
  <si>
    <t>Multiplier</t>
  </si>
  <si>
    <r>
      <t>Total Time to empty (HH.MM)</t>
    </r>
    <r>
      <rPr>
        <sz val="10"/>
        <color theme="1"/>
        <rFont val="Calibri"/>
        <family val="2"/>
        <scheme val="minor"/>
      </rPr>
      <t xml:space="preserve"> (Both Engines)</t>
    </r>
  </si>
  <si>
    <t>Deviation results</t>
  </si>
  <si>
    <t>Vessel:</t>
  </si>
  <si>
    <t>Naiad 10.5MT</t>
  </si>
  <si>
    <t>Name:</t>
  </si>
  <si>
    <t>Heading</t>
  </si>
  <si>
    <t>Deviation</t>
  </si>
  <si>
    <t>000°</t>
  </si>
  <si>
    <t>NIL</t>
  </si>
  <si>
    <t>090°</t>
  </si>
  <si>
    <t>180°</t>
  </si>
  <si>
    <t>2°W</t>
  </si>
  <si>
    <t>270°</t>
  </si>
  <si>
    <t>010°</t>
  </si>
  <si>
    <t>100°</t>
  </si>
  <si>
    <t>190°</t>
  </si>
  <si>
    <t>280°</t>
  </si>
  <si>
    <t>020°</t>
  </si>
  <si>
    <t>110°</t>
  </si>
  <si>
    <t>200°</t>
  </si>
  <si>
    <t>290°</t>
  </si>
  <si>
    <t>030°</t>
  </si>
  <si>
    <t>120°</t>
  </si>
  <si>
    <t>210°</t>
  </si>
  <si>
    <t>300°</t>
  </si>
  <si>
    <t>040°</t>
  </si>
  <si>
    <t>130°</t>
  </si>
  <si>
    <t>1°W</t>
  </si>
  <si>
    <t>220°</t>
  </si>
  <si>
    <t>310°</t>
  </si>
  <si>
    <t>045°</t>
  </si>
  <si>
    <t>135°</t>
  </si>
  <si>
    <t>225°</t>
  </si>
  <si>
    <t>315°</t>
  </si>
  <si>
    <t>050°</t>
  </si>
  <si>
    <t>140°</t>
  </si>
  <si>
    <t>230°</t>
  </si>
  <si>
    <t>320°</t>
  </si>
  <si>
    <t>060°</t>
  </si>
  <si>
    <t>150°</t>
  </si>
  <si>
    <t>240°</t>
  </si>
  <si>
    <t>330°</t>
  </si>
  <si>
    <t>070°</t>
  </si>
  <si>
    <t>160°</t>
  </si>
  <si>
    <t>250°</t>
  </si>
  <si>
    <t>340°</t>
  </si>
  <si>
    <t>080°</t>
  </si>
  <si>
    <t>170°</t>
  </si>
  <si>
    <t>260°</t>
  </si>
  <si>
    <t>350°</t>
  </si>
  <si>
    <t>Naiad 7MT</t>
  </si>
  <si>
    <t>Port Jackson 20</t>
  </si>
  <si>
    <t>WOT</t>
  </si>
  <si>
    <t>Speed (Kn)</t>
  </si>
  <si>
    <t>L / H</t>
  </si>
  <si>
    <t>P J  3 1</t>
  </si>
  <si>
    <t>Values from 4500RPM and above using manufacturer measured values</t>
  </si>
  <si>
    <t>Over 4500RPM, trim at 25%</t>
  </si>
  <si>
    <t>Efficency</t>
  </si>
  <si>
    <t>Do not operate vessel with one engine only at these RPM ranges</t>
  </si>
  <si>
    <t>P J  2 0</t>
  </si>
  <si>
    <t>Variation</t>
  </si>
  <si>
    <t>Compass</t>
  </si>
  <si>
    <t>C-A-D-E-T</t>
  </si>
  <si>
    <t>ADD</t>
  </si>
  <si>
    <t>SUBTRACT</t>
  </si>
  <si>
    <t>EAST</t>
  </si>
  <si>
    <t>WEST</t>
  </si>
  <si>
    <t>COMPASS - to - TRUE</t>
  </si>
  <si>
    <t>TRUE - to - COMPASS</t>
  </si>
  <si>
    <t>Data</t>
  </si>
  <si>
    <t>East</t>
  </si>
  <si>
    <t>West</t>
  </si>
  <si>
    <t>E / W</t>
  </si>
  <si>
    <t>335°</t>
  </si>
  <si>
    <t>M</t>
  </si>
  <si>
    <t>C</t>
  </si>
  <si>
    <t>T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</si>
  <si>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</si>
  <si>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</si>
  <si>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</si>
  <si>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</si>
  <si>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</si>
  <si>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</si>
  <si>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</si>
  <si>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</si>
  <si>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</si>
  <si>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</si>
  <si>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</si>
  <si>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</si>
  <si>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</si>
  <si>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</si>
  <si>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Use for the last part of table above</t>
  </si>
  <si>
    <r>
      <t xml:space="preserve">Set SARCC (B through Q)  =  </t>
    </r>
    <r>
      <rPr>
        <i/>
        <sz val="8"/>
        <rFont val="Arial"/>
        <family val="2"/>
      </rPr>
      <t>(Sydney = h)</t>
    </r>
  </si>
  <si>
    <t>VOYAGE PLAN CALCULATOR</t>
  </si>
  <si>
    <t>Search And Rescue - Expanding Square - Legs</t>
  </si>
  <si>
    <t>Expanding Square</t>
  </si>
  <si>
    <t>Calc</t>
  </si>
  <si>
    <t>Table shows 90 degree courses turning to starboard for a               Expanding Square            search, just enter the first leg for each course, variation also given</t>
  </si>
  <si>
    <t>Leg</t>
  </si>
  <si>
    <r>
      <t>Course</t>
    </r>
    <r>
      <rPr>
        <b/>
        <sz val="8"/>
        <color theme="1"/>
        <rFont val="Calibri"/>
        <family val="2"/>
        <scheme val="minor"/>
      </rPr>
      <t xml:space="preserve"> (turn to STB)</t>
    </r>
  </si>
  <si>
    <t>(Knots)</t>
  </si>
  <si>
    <t>Units</t>
  </si>
  <si>
    <t>Time (calc)</t>
  </si>
  <si>
    <t>H:M</t>
  </si>
  <si>
    <t>Meters</t>
  </si>
  <si>
    <t>DATA</t>
  </si>
  <si>
    <t>Same detail but turning to PORT</t>
  </si>
  <si>
    <t>TOT</t>
  </si>
  <si>
    <t>Hrs:mins</t>
  </si>
  <si>
    <t>Search Speed</t>
  </si>
  <si>
    <t>metres</t>
  </si>
  <si>
    <t>KNOTS</t>
  </si>
  <si>
    <t>(NM)</t>
  </si>
  <si>
    <t>Distance(NM)</t>
  </si>
  <si>
    <t>H:M:S</t>
  </si>
  <si>
    <t>Enter fuel Flow Rate</t>
  </si>
  <si>
    <t>Update distance in "Distance NM" field only</t>
  </si>
  <si>
    <t>Speed Knots</t>
  </si>
  <si>
    <t>Distance NM</t>
  </si>
  <si>
    <t>Cumulative Distance</t>
  </si>
  <si>
    <t>Cumulative</t>
  </si>
  <si>
    <t>Leg Fuel Burn (L)</t>
  </si>
  <si>
    <t>Cumulative Fuel Burn (L)</t>
  </si>
  <si>
    <t>Edit fields in yellow only</t>
  </si>
  <si>
    <t>1/2°E</t>
  </si>
  <si>
    <t>1/2°W</t>
  </si>
  <si>
    <t>3°W</t>
  </si>
  <si>
    <t>3 1/2°W</t>
  </si>
  <si>
    <t>4°W</t>
  </si>
  <si>
    <t>2 1/2°W</t>
  </si>
  <si>
    <t>1 1/2°W</t>
  </si>
  <si>
    <t>1°E</t>
  </si>
  <si>
    <t>2°E</t>
  </si>
  <si>
    <t>2 1/2°E</t>
  </si>
  <si>
    <t>3°E</t>
  </si>
  <si>
    <t>3 1/2°E</t>
  </si>
  <si>
    <t>4°E</t>
  </si>
  <si>
    <t>4 1/2°E</t>
  </si>
  <si>
    <t>4 °E</t>
  </si>
  <si>
    <t>1 1/2°E</t>
  </si>
  <si>
    <t>4 1/2°W</t>
  </si>
  <si>
    <t>Measured against supplied deviation card NOVEMBER 2023</t>
  </si>
  <si>
    <t>NATSAR Manual Table D-5:3</t>
  </si>
  <si>
    <t>Height of Eye 8 Ft. Visibility in km/NM</t>
  </si>
  <si>
    <t>Visibility in km</t>
  </si>
  <si>
    <t>Visibility in NM</t>
  </si>
  <si>
    <t>Person in water</t>
  </si>
  <si>
    <t>1 person Life Raft</t>
  </si>
  <si>
    <t>10 person Life Raft</t>
  </si>
  <si>
    <t>15 person Life Raft</t>
  </si>
  <si>
    <t>20 person Life Raft</t>
  </si>
  <si>
    <t>25 person Life Raft</t>
  </si>
  <si>
    <t>4 person Life Raft</t>
  </si>
  <si>
    <t>6 person Life Raft</t>
  </si>
  <si>
    <t>8 person Life Raft</t>
  </si>
  <si>
    <t>Power Boat 12-20m (40-65ft)</t>
  </si>
  <si>
    <t>Power Boat 20-27m (65-90ft)</t>
  </si>
  <si>
    <t>Power Boat 5-8m (15-25ft)</t>
  </si>
  <si>
    <t>Power Boat 8-12m (25-40ft)</t>
  </si>
  <si>
    <t>Power Boat Under 5m (15ft)</t>
  </si>
  <si>
    <t>Sail Boat 5-6m (15-20ft)</t>
  </si>
  <si>
    <t>Sail Boat 6-8m (20-25ft)</t>
  </si>
  <si>
    <t>Sail Boat 8-9m (25-30ft)</t>
  </si>
  <si>
    <t>Sail Boat 9-12m (30-40ft)</t>
  </si>
  <si>
    <t>Sail Boat Under 5m (15ft)</t>
  </si>
  <si>
    <t>A=TxVxS</t>
  </si>
  <si>
    <t>Search Object</t>
  </si>
  <si>
    <t>Uncorrected Sweep Width (Wu)</t>
  </si>
  <si>
    <t>Table D-5:3</t>
  </si>
  <si>
    <r>
      <t>Area NM</t>
    </r>
    <r>
      <rPr>
        <vertAlign val="superscript"/>
        <sz val="11"/>
        <color theme="1"/>
        <rFont val="Calibri"/>
        <family val="2"/>
        <scheme val="minor"/>
      </rPr>
      <t>2</t>
    </r>
  </si>
  <si>
    <t>Wind strength in knots</t>
  </si>
  <si>
    <t>Time Hrs</t>
  </si>
  <si>
    <t>Weather Correction Factor (Fw)</t>
  </si>
  <si>
    <t>PIW, Liferaft, &lt;10m power boat</t>
  </si>
  <si>
    <t>Others</t>
  </si>
  <si>
    <t>Sweep Width Wu x Fw</t>
  </si>
  <si>
    <r>
      <t>Search Area NM</t>
    </r>
    <r>
      <rPr>
        <vertAlign val="superscript"/>
        <sz val="11"/>
        <color theme="1"/>
        <rFont val="Calibri"/>
        <family val="2"/>
        <scheme val="minor"/>
      </rPr>
      <t>2</t>
    </r>
  </si>
  <si>
    <t>A</t>
  </si>
  <si>
    <t>Number of Boats</t>
  </si>
  <si>
    <t>Fatigue Factor (Ff) (Y or N)</t>
  </si>
  <si>
    <t>Search speed Kn</t>
  </si>
  <si>
    <t>Corrected Sweep Width</t>
  </si>
  <si>
    <t>Velocity Kn</t>
  </si>
  <si>
    <t>V</t>
  </si>
  <si>
    <t>Spacing NM</t>
  </si>
  <si>
    <t>S</t>
  </si>
  <si>
    <t>Coverage Factor (%)</t>
  </si>
  <si>
    <t>Practical Track Spacing NM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</si>
  <si>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Use the pull down menu in the first </t>
    </r>
    <r>
      <rPr>
        <b/>
        <sz val="11"/>
        <color rgb="FFFFFF00"/>
        <rFont val="Calibri"/>
        <family val="2"/>
        <scheme val="minor"/>
      </rPr>
      <t>YELLOW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cell to select the Search Object. Enter Wind Strength, Fatigue Factor and desired coverage factor in other </t>
    </r>
    <r>
      <rPr>
        <b/>
        <sz val="11"/>
        <color rgb="FFFFFF00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cells. Choose visibility from </t>
    </r>
    <r>
      <rPr>
        <b/>
        <sz val="11"/>
        <color rgb="FFFFC000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cells and choose the practical track spacing for the type of search object from the </t>
    </r>
    <r>
      <rPr>
        <b/>
        <sz val="11"/>
        <color rgb="FF92D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cells.</t>
    </r>
  </si>
  <si>
    <t>Y</t>
  </si>
  <si>
    <t>Practical Track Spacing in M</t>
  </si>
  <si>
    <t>Below table is the above table of NAUTICAL MILES converted to METERS</t>
  </si>
  <si>
    <t>This calculator assumes a height of eye of 8 Ft.</t>
  </si>
  <si>
    <r>
      <t xml:space="preserve">Enter known variables in </t>
    </r>
    <r>
      <rPr>
        <b/>
        <sz val="10"/>
        <color rgb="FFFFFF00"/>
        <rFont val="Calibri"/>
        <family val="2"/>
        <scheme val="minor"/>
      </rPr>
      <t>YELLOW</t>
    </r>
    <r>
      <rPr>
        <b/>
        <sz val="10"/>
        <color theme="1"/>
        <rFont val="Calibri"/>
        <family val="2"/>
        <scheme val="minor"/>
      </rPr>
      <t xml:space="preserve"> cells. Unknown will be in GREY cells.</t>
    </r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</si>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</sst>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0"/>
    <numFmt numFmtId="166" formatCode="0000"/>
    <numFmt numFmtId="167" formatCode="#\ ?/2"/>
    <numFmt numFmtId="168" formatCode="hh:mm:ss"/>
    <numFmt numFmtId="169" formatCode="[h]:mm"/>
  </numFmts>
  <fonts count="7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56"/>
      <name val="Arial Narrow"/>
      <family val="2"/>
    </font>
    <font>
      <sz val="11"/>
      <color indexed="56"/>
      <name val="Arial"/>
      <family val="2"/>
    </font>
    <font>
      <sz val="20"/>
      <color indexed="8"/>
      <name val="Arial"/>
      <family val="2"/>
    </font>
    <font>
      <b/>
      <sz val="11"/>
      <color indexed="56"/>
      <name val="Arial"/>
      <family val="2"/>
    </font>
    <font>
      <sz val="11"/>
      <color indexed="8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sz val="8"/>
      <color indexed="47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Arial Narrow"/>
      <family val="2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rgb="FFFFFF99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  <family val="2"/>
    </font>
    <font>
      <i/>
      <sz val="8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 Nova Cond Light"/>
      <family val="2"/>
    </font>
    <font>
      <b/>
      <sz val="18"/>
      <color rgb="FFFFFFCC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Arial Narrow"/>
      <family val="2"/>
    </font>
    <font>
      <sz val="6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rgb="FFFF0000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0"/>
      <color rgb="FFFFFF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B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rgb="FF00206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3" fillId="20" borderId="0" applyNumberFormat="0" applyBorder="0" applyAlignment="0" applyProtection="0"/>
    <xf numFmtId="9" fontId="64" fillId="0" borderId="0" applyFont="0" applyFill="0" applyBorder="0" applyAlignment="0" applyProtection="0"/>
  </cellStyleXfs>
  <cellXfs count="660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7" fillId="4" borderId="5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6" borderId="11" xfId="0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7" borderId="0" xfId="0" applyFont="1" applyFill="1"/>
    <xf numFmtId="164" fontId="10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0" fillId="0" borderId="0" xfId="0" applyFont="1"/>
    <xf numFmtId="164" fontId="12" fillId="7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0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1" fontId="14" fillId="3" borderId="5" xfId="0" applyNumberFormat="1" applyFont="1" applyFill="1" applyBorder="1" applyAlignment="1">
      <alignment horizontal="center"/>
    </xf>
    <xf numFmtId="1" fontId="14" fillId="8" borderId="5" xfId="0" applyNumberFormat="1" applyFont="1" applyFill="1" applyBorder="1" applyAlignment="1">
      <alignment horizontal="center"/>
    </xf>
    <xf numFmtId="0" fontId="15" fillId="7" borderId="0" xfId="0" applyFont="1" applyFill="1" applyAlignment="1">
      <alignment horizontal="right"/>
    </xf>
    <xf numFmtId="0" fontId="10" fillId="7" borderId="0" xfId="0" applyFont="1" applyFill="1" applyProtection="1">
      <protection locked="0"/>
    </xf>
    <xf numFmtId="0" fontId="13" fillId="7" borderId="0" xfId="0" applyFont="1" applyFill="1" applyAlignment="1">
      <alignment horizontal="left"/>
    </xf>
    <xf numFmtId="167" fontId="14" fillId="5" borderId="5" xfId="0" applyNumberFormat="1" applyFont="1" applyFill="1" applyBorder="1" applyAlignment="1">
      <alignment horizontal="center"/>
    </xf>
    <xf numFmtId="167" fontId="14" fillId="3" borderId="5" xfId="0" applyNumberFormat="1" applyFont="1" applyFill="1" applyBorder="1" applyAlignment="1">
      <alignment horizontal="center"/>
    </xf>
    <xf numFmtId="167" fontId="14" fillId="8" borderId="5" xfId="0" applyNumberFormat="1" applyFont="1" applyFill="1" applyBorder="1" applyAlignment="1">
      <alignment horizontal="center"/>
    </xf>
    <xf numFmtId="164" fontId="10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6" fillId="7" borderId="0" xfId="0" applyFont="1" applyFill="1"/>
    <xf numFmtId="0" fontId="10" fillId="7" borderId="0" xfId="0" applyFont="1" applyFill="1" applyAlignment="1" applyProtection="1">
      <alignment horizontal="center"/>
      <protection locked="0"/>
    </xf>
    <xf numFmtId="0" fontId="16" fillId="7" borderId="0" xfId="0" applyFont="1" applyFill="1" applyProtection="1">
      <protection locked="0"/>
    </xf>
    <xf numFmtId="0" fontId="17" fillId="7" borderId="0" xfId="0" applyFont="1" applyFill="1" applyAlignment="1">
      <alignment horizontal="center"/>
    </xf>
    <xf numFmtId="1" fontId="12" fillId="7" borderId="0" xfId="0" applyNumberFormat="1" applyFont="1" applyFill="1" applyAlignment="1">
      <alignment horizontal="center"/>
    </xf>
    <xf numFmtId="0" fontId="17" fillId="7" borderId="0" xfId="0" applyFont="1" applyFill="1"/>
    <xf numFmtId="0" fontId="17" fillId="0" borderId="0" xfId="0" applyFont="1"/>
    <xf numFmtId="0" fontId="17" fillId="7" borderId="0" xfId="0" applyFont="1" applyFill="1" applyAlignment="1">
      <alignment vertical="top"/>
    </xf>
    <xf numFmtId="0" fontId="12" fillId="7" borderId="0" xfId="0" applyFont="1" applyFill="1" applyAlignment="1">
      <alignment horizontal="center" vertical="top"/>
    </xf>
    <xf numFmtId="0" fontId="14" fillId="7" borderId="0" xfId="0" applyFont="1" applyFill="1" applyAlignment="1">
      <alignment vertical="top"/>
    </xf>
    <xf numFmtId="0" fontId="14" fillId="0" borderId="0" xfId="0" applyFont="1" applyAlignment="1">
      <alignment vertical="top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2" fontId="0" fillId="0" borderId="18" xfId="0" applyNumberFormat="1" applyBorder="1"/>
    <xf numFmtId="0" fontId="0" fillId="0" borderId="18" xfId="0" applyBorder="1"/>
    <xf numFmtId="0" fontId="18" fillId="0" borderId="19" xfId="0" applyFont="1" applyBorder="1"/>
    <xf numFmtId="0" fontId="0" fillId="0" borderId="5" xfId="0" applyBorder="1"/>
    <xf numFmtId="0" fontId="18" fillId="0" borderId="14" xfId="0" applyFont="1" applyBorder="1" applyAlignment="1">
      <alignment horizontal="center"/>
    </xf>
    <xf numFmtId="2" fontId="0" fillId="0" borderId="15" xfId="0" applyNumberFormat="1" applyBorder="1"/>
    <xf numFmtId="168" fontId="18" fillId="0" borderId="16" xfId="0" applyNumberFormat="1" applyFont="1" applyBorder="1"/>
    <xf numFmtId="0" fontId="18" fillId="0" borderId="2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2" fontId="0" fillId="0" borderId="5" xfId="0" applyNumberFormat="1" applyBorder="1"/>
    <xf numFmtId="168" fontId="18" fillId="0" borderId="21" xfId="0" applyNumberFormat="1" applyFont="1" applyBorder="1"/>
    <xf numFmtId="168" fontId="18" fillId="0" borderId="19" xfId="0" applyNumberFormat="1" applyFont="1" applyBorder="1"/>
    <xf numFmtId="164" fontId="20" fillId="0" borderId="19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164" fontId="20" fillId="0" borderId="21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2" fontId="20" fillId="0" borderId="2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20" xfId="0" applyNumberFormat="1" applyFont="1" applyBorder="1" applyAlignment="1">
      <alignment horizontal="center"/>
    </xf>
    <xf numFmtId="164" fontId="20" fillId="0" borderId="22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4" fontId="20" fillId="0" borderId="27" xfId="0" applyNumberFormat="1" applyFont="1" applyBorder="1" applyAlignment="1">
      <alignment horizontal="center"/>
    </xf>
    <xf numFmtId="2" fontId="21" fillId="11" borderId="17" xfId="0" applyNumberFormat="1" applyFont="1" applyFill="1" applyBorder="1" applyAlignment="1" applyProtection="1">
      <alignment horizontal="center"/>
      <protection locked="0"/>
    </xf>
    <xf numFmtId="164" fontId="20" fillId="0" borderId="28" xfId="0" applyNumberFormat="1" applyFont="1" applyBorder="1" applyAlignment="1">
      <alignment horizontal="center"/>
    </xf>
    <xf numFmtId="164" fontId="21" fillId="11" borderId="29" xfId="0" applyNumberFormat="1" applyFont="1" applyFill="1" applyBorder="1" applyAlignment="1" applyProtection="1">
      <alignment horizontal="center"/>
      <protection locked="0"/>
    </xf>
    <xf numFmtId="0" fontId="20" fillId="0" borderId="0" xfId="0" applyFont="1"/>
    <xf numFmtId="0" fontId="23" fillId="0" borderId="0" xfId="0" applyFont="1" applyAlignment="1">
      <alignment horizontal="center"/>
    </xf>
    <xf numFmtId="0" fontId="20" fillId="0" borderId="19" xfId="0" applyFont="1" applyBorder="1"/>
    <xf numFmtId="0" fontId="20" fillId="0" borderId="21" xfId="0" applyFont="1" applyBorder="1"/>
    <xf numFmtId="0" fontId="20" fillId="0" borderId="16" xfId="0" applyFont="1" applyBorder="1"/>
    <xf numFmtId="0" fontId="23" fillId="0" borderId="0" xfId="0" quotePrefix="1" applyFont="1" applyAlignment="1">
      <alignment horizontal="center"/>
    </xf>
    <xf numFmtId="0" fontId="21" fillId="11" borderId="19" xfId="0" applyFont="1" applyFill="1" applyBorder="1" applyProtection="1">
      <protection locked="0"/>
    </xf>
    <xf numFmtId="0" fontId="21" fillId="11" borderId="16" xfId="0" applyFont="1" applyFill="1" applyBorder="1" applyProtection="1">
      <protection locked="0"/>
    </xf>
    <xf numFmtId="164" fontId="20" fillId="0" borderId="19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164" fontId="20" fillId="0" borderId="21" xfId="0" applyNumberFormat="1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0" fillId="0" borderId="6" xfId="0" applyBorder="1"/>
    <xf numFmtId="0" fontId="18" fillId="0" borderId="46" xfId="0" applyFont="1" applyBorder="1" applyAlignment="1">
      <alignment horizontal="center"/>
    </xf>
    <xf numFmtId="0" fontId="19" fillId="11" borderId="15" xfId="0" applyFont="1" applyFill="1" applyBorder="1" applyAlignment="1" applyProtection="1">
      <alignment horizontal="center"/>
      <protection locked="0"/>
    </xf>
    <xf numFmtId="164" fontId="0" fillId="0" borderId="15" xfId="0" applyNumberFormat="1" applyBorder="1"/>
    <xf numFmtId="164" fontId="0" fillId="0" borderId="5" xfId="0" applyNumberFormat="1" applyBorder="1"/>
    <xf numFmtId="0" fontId="18" fillId="11" borderId="44" xfId="0" applyFont="1" applyFill="1" applyBorder="1" applyAlignment="1" applyProtection="1">
      <alignment horizontal="center"/>
      <protection locked="0"/>
    </xf>
    <xf numFmtId="0" fontId="18" fillId="11" borderId="23" xfId="0" applyFont="1" applyFill="1" applyBorder="1" applyAlignment="1" applyProtection="1">
      <alignment horizontal="center"/>
      <protection locked="0"/>
    </xf>
    <xf numFmtId="0" fontId="20" fillId="10" borderId="0" xfId="0" applyFont="1" applyFill="1"/>
    <xf numFmtId="0" fontId="20" fillId="10" borderId="0" xfId="0" applyFont="1" applyFill="1" applyAlignment="1">
      <alignment horizontal="left"/>
    </xf>
    <xf numFmtId="0" fontId="24" fillId="10" borderId="0" xfId="0" applyFont="1" applyFill="1"/>
    <xf numFmtId="0" fontId="0" fillId="0" borderId="5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 wrapText="1"/>
    </xf>
    <xf numFmtId="0" fontId="0" fillId="16" borderId="16" xfId="0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64" fontId="20" fillId="0" borderId="35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/>
    </xf>
    <xf numFmtId="164" fontId="20" fillId="0" borderId="34" xfId="0" applyNumberFormat="1" applyFont="1" applyBorder="1" applyAlignment="1">
      <alignment horizontal="center" vertical="center"/>
    </xf>
    <xf numFmtId="2" fontId="31" fillId="0" borderId="53" xfId="0" applyNumberFormat="1" applyFont="1" applyBorder="1" applyAlignment="1">
      <alignment horizontal="center" vertical="center"/>
    </xf>
    <xf numFmtId="2" fontId="31" fillId="0" borderId="35" xfId="0" applyNumberFormat="1" applyFont="1" applyBorder="1" applyAlignment="1">
      <alignment horizontal="center" vertical="center"/>
    </xf>
    <xf numFmtId="2" fontId="31" fillId="0" borderId="34" xfId="0" applyNumberFormat="1" applyFont="1" applyBorder="1" applyAlignment="1">
      <alignment horizontal="center" vertical="center"/>
    </xf>
    <xf numFmtId="164" fontId="20" fillId="0" borderId="53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45" xfId="0" quotePrefix="1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51" xfId="0" quotePrefix="1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4" xfId="0" applyBorder="1" applyAlignment="1">
      <alignment horizontal="center"/>
    </xf>
    <xf numFmtId="0" fontId="18" fillId="0" borderId="43" xfId="0" quotePrefix="1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36" fillId="16" borderId="19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2" fontId="20" fillId="0" borderId="68" xfId="0" applyNumberFormat="1" applyFont="1" applyBorder="1" applyAlignment="1">
      <alignment horizontal="center" vertical="center"/>
    </xf>
    <xf numFmtId="2" fontId="20" fillId="0" borderId="70" xfId="0" applyNumberFormat="1" applyFont="1" applyBorder="1" applyAlignment="1">
      <alignment horizontal="center" vertical="center"/>
    </xf>
    <xf numFmtId="2" fontId="20" fillId="0" borderId="71" xfId="0" applyNumberFormat="1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164" fontId="20" fillId="16" borderId="14" xfId="0" applyNumberFormat="1" applyFont="1" applyFill="1" applyBorder="1" applyAlignment="1" applyProtection="1">
      <alignment horizontal="center" vertical="center"/>
      <protection locked="0"/>
    </xf>
    <xf numFmtId="164" fontId="20" fillId="16" borderId="16" xfId="0" applyNumberFormat="1" applyFont="1" applyFill="1" applyBorder="1" applyAlignment="1" applyProtection="1">
      <alignment horizontal="center" vertical="center"/>
      <protection locked="0"/>
    </xf>
    <xf numFmtId="0" fontId="20" fillId="16" borderId="16" xfId="0" applyFont="1" applyFill="1" applyBorder="1" applyAlignment="1" applyProtection="1">
      <alignment horizontal="center" vertical="center"/>
      <protection locked="0"/>
    </xf>
    <xf numFmtId="164" fontId="20" fillId="16" borderId="20" xfId="0" applyNumberFormat="1" applyFont="1" applyFill="1" applyBorder="1" applyAlignment="1" applyProtection="1">
      <alignment horizontal="center" vertical="center"/>
      <protection locked="0"/>
    </xf>
    <xf numFmtId="164" fontId="20" fillId="16" borderId="21" xfId="0" applyNumberFormat="1" applyFont="1" applyFill="1" applyBorder="1" applyAlignment="1" applyProtection="1">
      <alignment horizontal="center" vertical="center"/>
      <protection locked="0"/>
    </xf>
    <xf numFmtId="0" fontId="20" fillId="16" borderId="2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38" fillId="0" borderId="0" xfId="0" applyFont="1"/>
    <xf numFmtId="0" fontId="0" fillId="0" borderId="0" xfId="0" applyAlignment="1">
      <alignment horizontal="center" vertical="center"/>
    </xf>
    <xf numFmtId="0" fontId="18" fillId="0" borderId="0" xfId="0" applyFont="1"/>
    <xf numFmtId="0" fontId="0" fillId="0" borderId="1" xfId="0" applyBorder="1" applyAlignment="1">
      <alignment horizontal="center" vertical="center"/>
    </xf>
    <xf numFmtId="167" fontId="14" fillId="18" borderId="5" xfId="0" applyNumberFormat="1" applyFont="1" applyFill="1" applyBorder="1" applyAlignment="1">
      <alignment horizontal="center"/>
    </xf>
    <xf numFmtId="167" fontId="10" fillId="11" borderId="5" xfId="0" applyNumberFormat="1" applyFont="1" applyFill="1" applyBorder="1" applyProtection="1">
      <protection locked="0"/>
    </xf>
    <xf numFmtId="1" fontId="14" fillId="18" borderId="5" xfId="0" applyNumberFormat="1" applyFont="1" applyFill="1" applyBorder="1" applyAlignment="1">
      <alignment horizontal="center"/>
    </xf>
    <xf numFmtId="0" fontId="41" fillId="11" borderId="5" xfId="0" applyFont="1" applyFill="1" applyBorder="1" applyAlignment="1" applyProtection="1">
      <alignment horizontal="center"/>
      <protection locked="0"/>
    </xf>
    <xf numFmtId="0" fontId="41" fillId="11" borderId="5" xfId="0" applyFont="1" applyFill="1" applyBorder="1" applyProtection="1">
      <protection locked="0"/>
    </xf>
    <xf numFmtId="167" fontId="41" fillId="11" borderId="5" xfId="0" applyNumberFormat="1" applyFont="1" applyFill="1" applyBorder="1" applyProtection="1">
      <protection locked="0"/>
    </xf>
    <xf numFmtId="0" fontId="3" fillId="11" borderId="6" xfId="0" applyFont="1" applyFill="1" applyBorder="1" applyAlignment="1" applyProtection="1">
      <alignment horizontal="center" vertical="center"/>
      <protection locked="0"/>
    </xf>
    <xf numFmtId="165" fontId="3" fillId="11" borderId="6" xfId="0" applyNumberFormat="1" applyFont="1" applyFill="1" applyBorder="1" applyAlignment="1" applyProtection="1">
      <alignment horizontal="center" vertical="center"/>
      <protection locked="0"/>
    </xf>
    <xf numFmtId="166" fontId="3" fillId="11" borderId="6" xfId="0" applyNumberFormat="1" applyFont="1" applyFill="1" applyBorder="1" applyAlignment="1" applyProtection="1">
      <alignment horizontal="center" vertical="center"/>
      <protection locked="0"/>
    </xf>
    <xf numFmtId="0" fontId="3" fillId="19" borderId="6" xfId="0" applyFont="1" applyFill="1" applyBorder="1" applyAlignment="1">
      <alignment horizontal="center" vertical="center"/>
    </xf>
    <xf numFmtId="12" fontId="3" fillId="19" borderId="6" xfId="0" applyNumberFormat="1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left" vertical="center"/>
    </xf>
    <xf numFmtId="2" fontId="0" fillId="0" borderId="15" xfId="0" applyNumberFormat="1" applyBorder="1" applyAlignment="1">
      <alignment horizontal="center"/>
    </xf>
    <xf numFmtId="0" fontId="0" fillId="21" borderId="0" xfId="0" applyFill="1"/>
    <xf numFmtId="0" fontId="0" fillId="0" borderId="2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6" fillId="0" borderId="79" xfId="0" applyFont="1" applyBorder="1" applyAlignment="1">
      <alignment horizontal="center"/>
    </xf>
    <xf numFmtId="0" fontId="22" fillId="17" borderId="13" xfId="0" applyFont="1" applyFill="1" applyBorder="1" applyAlignment="1">
      <alignment vertical="center"/>
    </xf>
    <xf numFmtId="0" fontId="0" fillId="11" borderId="14" xfId="0" applyFill="1" applyBorder="1" applyAlignment="1" applyProtection="1">
      <alignment horizontal="center"/>
      <protection locked="0"/>
    </xf>
    <xf numFmtId="0" fontId="0" fillId="11" borderId="8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11" borderId="16" xfId="0" applyFill="1" applyBorder="1" applyAlignment="1" applyProtection="1">
      <alignment horizontal="center"/>
      <protection locked="0"/>
    </xf>
    <xf numFmtId="0" fontId="36" fillId="0" borderId="29" xfId="0" applyFont="1" applyBorder="1" applyAlignment="1">
      <alignment horizontal="center"/>
    </xf>
    <xf numFmtId="0" fontId="36" fillId="0" borderId="82" xfId="0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8" xfId="0" applyBorder="1" applyAlignment="1">
      <alignment horizontal="center"/>
    </xf>
    <xf numFmtId="0" fontId="43" fillId="20" borderId="68" xfId="2" applyBorder="1" applyProtection="1"/>
    <xf numFmtId="0" fontId="0" fillId="0" borderId="70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5" xfId="0" applyNumberForma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0" fontId="0" fillId="0" borderId="70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/>
    <xf numFmtId="0" fontId="0" fillId="11" borderId="23" xfId="0" applyFill="1" applyBorder="1" applyAlignment="1" applyProtection="1">
      <alignment horizontal="center"/>
      <protection locked="0"/>
    </xf>
    <xf numFmtId="0" fontId="0" fillId="11" borderId="5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7" xfId="0" applyBorder="1" applyAlignment="1">
      <alignment horizontal="right"/>
    </xf>
    <xf numFmtId="0" fontId="0" fillId="0" borderId="84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4" xfId="0" applyBorder="1" applyAlignment="1">
      <alignment horizontal="right"/>
    </xf>
    <xf numFmtId="0" fontId="0" fillId="0" borderId="5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86" xfId="0" applyBorder="1" applyAlignment="1">
      <alignment horizontal="right"/>
    </xf>
    <xf numFmtId="0" fontId="0" fillId="0" borderId="87" xfId="0" applyBorder="1" applyAlignment="1">
      <alignment horizontal="center"/>
    </xf>
    <xf numFmtId="2" fontId="0" fillId="0" borderId="88" xfId="0" applyNumberFormat="1" applyBorder="1" applyAlignment="1">
      <alignment horizontal="center"/>
    </xf>
    <xf numFmtId="169" fontId="0" fillId="0" borderId="88" xfId="0" applyNumberForma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3" xfId="0" applyBorder="1" applyAlignment="1">
      <alignment horizontal="right"/>
    </xf>
    <xf numFmtId="0" fontId="0" fillId="0" borderId="80" xfId="0" applyBorder="1" applyAlignment="1">
      <alignment horizontal="center"/>
    </xf>
    <xf numFmtId="169" fontId="0" fillId="0" borderId="15" xfId="0" applyNumberFormat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9" fontId="0" fillId="0" borderId="31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0" fontId="49" fillId="21" borderId="0" xfId="0" applyFont="1" applyFill="1" applyAlignment="1">
      <alignment horizontal="left"/>
    </xf>
    <xf numFmtId="0" fontId="49" fillId="21" borderId="0" xfId="0" applyFont="1" applyFill="1"/>
    <xf numFmtId="0" fontId="49" fillId="0" borderId="0" xfId="0" applyFont="1"/>
    <xf numFmtId="0" fontId="49" fillId="0" borderId="0" xfId="0" applyFont="1" applyAlignment="1">
      <alignment horizontal="left"/>
    </xf>
    <xf numFmtId="0" fontId="50" fillId="0" borderId="77" xfId="0" applyFont="1" applyBorder="1" applyAlignment="1">
      <alignment horizontal="center" wrapText="1"/>
    </xf>
    <xf numFmtId="0" fontId="18" fillId="0" borderId="79" xfId="0" applyFont="1" applyBorder="1" applyAlignment="1">
      <alignment horizontal="center" wrapText="1"/>
    </xf>
    <xf numFmtId="0" fontId="19" fillId="0" borderId="76" xfId="0" applyFont="1" applyBorder="1" applyAlignment="1">
      <alignment horizontal="center" wrapText="1"/>
    </xf>
    <xf numFmtId="0" fontId="18" fillId="11" borderId="53" xfId="0" applyFont="1" applyFill="1" applyBorder="1" applyAlignment="1" applyProtection="1">
      <alignment horizontal="right"/>
      <protection locked="0"/>
    </xf>
    <xf numFmtId="0" fontId="18" fillId="4" borderId="80" xfId="0" applyFont="1" applyFill="1" applyBorder="1" applyAlignment="1">
      <alignment horizontal="left"/>
    </xf>
    <xf numFmtId="0" fontId="18" fillId="0" borderId="29" xfId="0" applyFont="1" applyBorder="1" applyAlignment="1">
      <alignment horizontal="center" wrapText="1"/>
    </xf>
    <xf numFmtId="0" fontId="18" fillId="0" borderId="82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51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80" xfId="0" applyFont="1" applyBorder="1" applyAlignment="1">
      <alignment horizontal="center"/>
    </xf>
    <xf numFmtId="0" fontId="0" fillId="0" borderId="15" xfId="0" applyBorder="1"/>
    <xf numFmtId="0" fontId="19" fillId="22" borderId="15" xfId="0" applyFont="1" applyFill="1" applyBorder="1" applyAlignment="1">
      <alignment horizontal="center"/>
    </xf>
    <xf numFmtId="0" fontId="18" fillId="0" borderId="87" xfId="0" applyFont="1" applyBorder="1" applyAlignment="1">
      <alignment horizontal="center"/>
    </xf>
    <xf numFmtId="0" fontId="18" fillId="23" borderId="80" xfId="0" applyFont="1" applyFill="1" applyBorder="1" applyAlignment="1">
      <alignment horizontal="left"/>
    </xf>
    <xf numFmtId="0" fontId="18" fillId="0" borderId="84" xfId="0" applyFont="1" applyBorder="1" applyAlignment="1">
      <alignment horizontal="center"/>
    </xf>
    <xf numFmtId="0" fontId="38" fillId="21" borderId="0" xfId="0" applyFont="1" applyFill="1"/>
    <xf numFmtId="0" fontId="40" fillId="0" borderId="31" xfId="0" applyFont="1" applyBorder="1" applyAlignment="1">
      <alignment vertical="center"/>
    </xf>
    <xf numFmtId="0" fontId="21" fillId="11" borderId="17" xfId="0" applyFont="1" applyFill="1" applyBorder="1" applyAlignment="1" applyProtection="1">
      <alignment horizontal="center" vertical="center"/>
      <protection locked="0"/>
    </xf>
    <xf numFmtId="0" fontId="21" fillId="24" borderId="19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58" fillId="0" borderId="39" xfId="0" applyFont="1" applyBorder="1"/>
    <xf numFmtId="0" fontId="23" fillId="21" borderId="0" xfId="0" applyFont="1" applyFill="1"/>
    <xf numFmtId="0" fontId="18" fillId="0" borderId="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2" fontId="50" fillId="0" borderId="46" xfId="0" applyNumberFormat="1" applyFont="1" applyBorder="1"/>
    <xf numFmtId="0" fontId="50" fillId="0" borderId="88" xfId="0" applyFont="1" applyBorder="1"/>
    <xf numFmtId="0" fontId="56" fillId="0" borderId="89" xfId="0" applyFont="1" applyBorder="1"/>
    <xf numFmtId="0" fontId="56" fillId="0" borderId="71" xfId="0" applyFont="1" applyBorder="1"/>
    <xf numFmtId="0" fontId="62" fillId="0" borderId="68" xfId="0" applyFont="1" applyBorder="1" applyAlignment="1">
      <alignment horizontal="center"/>
    </xf>
    <xf numFmtId="0" fontId="18" fillId="21" borderId="0" xfId="0" applyFont="1" applyFill="1"/>
    <xf numFmtId="0" fontId="0" fillId="0" borderId="53" xfId="0" applyBorder="1" applyAlignment="1">
      <alignment horizontal="center"/>
    </xf>
    <xf numFmtId="0" fontId="18" fillId="25" borderId="68" xfId="0" applyFont="1" applyFill="1" applyBorder="1" applyAlignment="1" applyProtection="1">
      <alignment horizontal="center" vertical="center"/>
      <protection locked="0"/>
    </xf>
    <xf numFmtId="0" fontId="0" fillId="25" borderId="80" xfId="0" applyFill="1" applyBorder="1" applyAlignment="1" applyProtection="1">
      <alignment horizontal="center" vertical="center"/>
      <protection locked="0"/>
    </xf>
    <xf numFmtId="0" fontId="0" fillId="25" borderId="15" xfId="0" applyFill="1" applyBorder="1" applyAlignment="1" applyProtection="1">
      <alignment horizontal="center" vertical="center"/>
      <protection locked="0"/>
    </xf>
    <xf numFmtId="0" fontId="18" fillId="0" borderId="8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25" borderId="53" xfId="0" applyFont="1" applyFill="1" applyBorder="1" applyAlignment="1" applyProtection="1">
      <alignment horizontal="center"/>
      <protection locked="0"/>
    </xf>
    <xf numFmtId="0" fontId="19" fillId="25" borderId="14" xfId="0" applyFont="1" applyFill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2" fontId="0" fillId="0" borderId="80" xfId="0" applyNumberFormat="1" applyBorder="1"/>
    <xf numFmtId="168" fontId="18" fillId="0" borderId="91" xfId="0" applyNumberFormat="1" applyFont="1" applyBorder="1"/>
    <xf numFmtId="1" fontId="18" fillId="0" borderId="23" xfId="0" applyNumberFormat="1" applyFont="1" applyBorder="1"/>
    <xf numFmtId="1" fontId="18" fillId="0" borderId="22" xfId="0" applyNumberFormat="1" applyFont="1" applyBorder="1"/>
    <xf numFmtId="0" fontId="0" fillId="24" borderId="70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8" fillId="25" borderId="70" xfId="0" applyFont="1" applyFill="1" applyBorder="1" applyAlignment="1" applyProtection="1">
      <alignment horizontal="center" vertical="center"/>
      <protection locked="0"/>
    </xf>
    <xf numFmtId="0" fontId="0" fillId="25" borderId="2" xfId="0" applyFill="1" applyBorder="1" applyAlignment="1" applyProtection="1">
      <alignment horizontal="center" vertical="center"/>
      <protection locked="0"/>
    </xf>
    <xf numFmtId="0" fontId="0" fillId="25" borderId="5" xfId="0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25" borderId="35" xfId="0" applyFont="1" applyFill="1" applyBorder="1" applyAlignment="1" applyProtection="1">
      <alignment horizontal="center"/>
      <protection locked="0"/>
    </xf>
    <xf numFmtId="0" fontId="18" fillId="25" borderId="20" xfId="0" applyFont="1" applyFill="1" applyBorder="1" applyAlignment="1" applyProtection="1">
      <alignment horizontal="center"/>
      <protection locked="0"/>
    </xf>
    <xf numFmtId="0" fontId="18" fillId="0" borderId="21" xfId="0" applyFont="1" applyBorder="1" applyAlignment="1">
      <alignment horizontal="center"/>
    </xf>
    <xf numFmtId="2" fontId="0" fillId="0" borderId="2" xfId="0" applyNumberFormat="1" applyBorder="1"/>
    <xf numFmtId="168" fontId="18" fillId="0" borderId="92" xfId="0" applyNumberFormat="1" applyFont="1" applyBorder="1"/>
    <xf numFmtId="1" fontId="18" fillId="0" borderId="20" xfId="0" applyNumberFormat="1" applyFont="1" applyBorder="1"/>
    <xf numFmtId="1" fontId="18" fillId="0" borderId="21" xfId="0" applyNumberFormat="1" applyFont="1" applyBorder="1"/>
    <xf numFmtId="0" fontId="0" fillId="24" borderId="71" xfId="0" applyFill="1" applyBorder="1" applyAlignment="1">
      <alignment horizontal="center"/>
    </xf>
    <xf numFmtId="0" fontId="0" fillId="24" borderId="6" xfId="0" applyFill="1" applyBorder="1" applyAlignment="1">
      <alignment horizontal="center"/>
    </xf>
    <xf numFmtId="0" fontId="18" fillId="21" borderId="93" xfId="0" applyFont="1" applyFill="1" applyBorder="1"/>
    <xf numFmtId="0" fontId="0" fillId="0" borderId="94" xfId="0" applyBorder="1" applyAlignment="1">
      <alignment horizontal="center"/>
    </xf>
    <xf numFmtId="0" fontId="18" fillId="25" borderId="95" xfId="0" applyFont="1" applyFill="1" applyBorder="1" applyAlignment="1" applyProtection="1">
      <alignment horizontal="center" vertical="center"/>
      <protection locked="0"/>
    </xf>
    <xf numFmtId="0" fontId="0" fillId="25" borderId="96" xfId="0" applyFill="1" applyBorder="1" applyAlignment="1" applyProtection="1">
      <alignment horizontal="center" vertical="center"/>
      <protection locked="0"/>
    </xf>
    <xf numFmtId="0" fontId="0" fillId="25" borderId="97" xfId="0" applyFill="1" applyBorder="1" applyAlignment="1" applyProtection="1">
      <alignment horizontal="center" vertical="center"/>
      <protection locked="0"/>
    </xf>
    <xf numFmtId="0" fontId="18" fillId="0" borderId="98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25" borderId="94" xfId="0" applyFont="1" applyFill="1" applyBorder="1" applyAlignment="1" applyProtection="1">
      <alignment horizontal="center"/>
      <protection locked="0"/>
    </xf>
    <xf numFmtId="0" fontId="18" fillId="25" borderId="99" xfId="0" applyFont="1" applyFill="1" applyBorder="1" applyAlignment="1" applyProtection="1">
      <alignment horizontal="center"/>
      <protection locked="0"/>
    </xf>
    <xf numFmtId="0" fontId="18" fillId="0" borderId="100" xfId="0" applyFont="1" applyBorder="1" applyAlignment="1">
      <alignment horizontal="center"/>
    </xf>
    <xf numFmtId="2" fontId="0" fillId="0" borderId="96" xfId="0" applyNumberFormat="1" applyBorder="1"/>
    <xf numFmtId="164" fontId="0" fillId="0" borderId="97" xfId="0" applyNumberFormat="1" applyBorder="1"/>
    <xf numFmtId="168" fontId="18" fillId="0" borderId="100" xfId="0" applyNumberFormat="1" applyFont="1" applyBorder="1"/>
    <xf numFmtId="168" fontId="18" fillId="0" borderId="101" xfId="0" applyNumberFormat="1" applyFont="1" applyBorder="1"/>
    <xf numFmtId="1" fontId="18" fillId="0" borderId="46" xfId="0" applyNumberFormat="1" applyFont="1" applyBorder="1"/>
    <xf numFmtId="1" fontId="18" fillId="0" borderId="89" xfId="0" applyNumberFormat="1" applyFont="1" applyBorder="1"/>
    <xf numFmtId="0" fontId="0" fillId="0" borderId="36" xfId="0" applyBorder="1" applyAlignment="1">
      <alignment horizontal="center"/>
    </xf>
    <xf numFmtId="0" fontId="18" fillId="25" borderId="69" xfId="0" applyFont="1" applyFill="1" applyBorder="1" applyAlignment="1" applyProtection="1">
      <alignment horizontal="center" vertical="center"/>
      <protection locked="0"/>
    </xf>
    <xf numFmtId="0" fontId="0" fillId="25" borderId="51" xfId="0" applyFill="1" applyBorder="1" applyAlignment="1" applyProtection="1">
      <alignment horizontal="center" vertical="center"/>
      <protection locked="0"/>
    </xf>
    <xf numFmtId="0" fontId="0" fillId="25" borderId="3" xfId="0" applyFill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25" borderId="36" xfId="0" applyFont="1" applyFill="1" applyBorder="1" applyAlignment="1" applyProtection="1">
      <alignment horizontal="center"/>
      <protection locked="0"/>
    </xf>
    <xf numFmtId="0" fontId="18" fillId="25" borderId="23" xfId="0" applyFont="1" applyFill="1" applyBorder="1" applyAlignment="1" applyProtection="1">
      <alignment horizontal="center"/>
      <protection locked="0"/>
    </xf>
    <xf numFmtId="0" fontId="18" fillId="0" borderId="22" xfId="0" applyFont="1" applyBorder="1" applyAlignment="1">
      <alignment horizontal="center"/>
    </xf>
    <xf numFmtId="2" fontId="0" fillId="0" borderId="51" xfId="0" applyNumberFormat="1" applyBorder="1"/>
    <xf numFmtId="164" fontId="0" fillId="0" borderId="3" xfId="0" applyNumberFormat="1" applyBorder="1"/>
    <xf numFmtId="168" fontId="18" fillId="0" borderId="22" xfId="0" applyNumberFormat="1" applyFont="1" applyBorder="1"/>
    <xf numFmtId="168" fontId="18" fillId="0" borderId="102" xfId="0" applyNumberFormat="1" applyFont="1" applyBorder="1"/>
    <xf numFmtId="1" fontId="18" fillId="0" borderId="103" xfId="0" applyNumberFormat="1" applyFont="1" applyBorder="1"/>
    <xf numFmtId="1" fontId="18" fillId="0" borderId="104" xfId="0" applyNumberFormat="1" applyFont="1" applyBorder="1"/>
    <xf numFmtId="1" fontId="18" fillId="0" borderId="99" xfId="0" applyNumberFormat="1" applyFont="1" applyBorder="1"/>
    <xf numFmtId="1" fontId="18" fillId="0" borderId="100" xfId="0" applyNumberFormat="1" applyFont="1" applyBorder="1"/>
    <xf numFmtId="164" fontId="50" fillId="0" borderId="5" xfId="0" applyNumberFormat="1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21" borderId="93" xfId="0" applyFill="1" applyBorder="1"/>
    <xf numFmtId="0" fontId="0" fillId="0" borderId="9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3" fillId="0" borderId="39" xfId="0" applyFont="1" applyBorder="1" applyAlignment="1">
      <alignment horizontal="center" vertical="center"/>
    </xf>
    <xf numFmtId="0" fontId="18" fillId="25" borderId="71" xfId="0" applyFont="1" applyFill="1" applyBorder="1" applyAlignment="1" applyProtection="1">
      <alignment horizontal="center" vertical="center"/>
      <protection locked="0"/>
    </xf>
    <xf numFmtId="0" fontId="0" fillId="25" borderId="84" xfId="0" applyFill="1" applyBorder="1" applyAlignment="1" applyProtection="1">
      <alignment horizontal="center" vertical="center"/>
      <protection locked="0"/>
    </xf>
    <xf numFmtId="0" fontId="0" fillId="25" borderId="18" xfId="0" applyFill="1" applyBorder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65" fillId="26" borderId="105" xfId="0" applyFont="1" applyFill="1" applyBorder="1" applyAlignment="1">
      <alignment vertical="center" wrapText="1"/>
    </xf>
    <xf numFmtId="0" fontId="65" fillId="26" borderId="106" xfId="0" applyFont="1" applyFill="1" applyBorder="1" applyAlignment="1">
      <alignment horizontal="center" vertical="center" wrapText="1"/>
    </xf>
    <xf numFmtId="0" fontId="65" fillId="26" borderId="107" xfId="0" applyFont="1" applyFill="1" applyBorder="1" applyAlignment="1">
      <alignment vertical="center" wrapText="1"/>
    </xf>
    <xf numFmtId="0" fontId="65" fillId="26" borderId="107" xfId="0" applyFont="1" applyFill="1" applyBorder="1" applyAlignment="1">
      <alignment horizontal="center" vertical="center" wrapText="1"/>
    </xf>
    <xf numFmtId="0" fontId="65" fillId="26" borderId="108" xfId="0" applyFont="1" applyFill="1" applyBorder="1" applyAlignment="1">
      <alignment horizontal="left" vertical="center" wrapText="1"/>
    </xf>
    <xf numFmtId="0" fontId="66" fillId="26" borderId="108" xfId="0" applyFont="1" applyFill="1" applyBorder="1" applyAlignment="1">
      <alignment horizontal="center" vertical="center" wrapText="1"/>
    </xf>
    <xf numFmtId="0" fontId="18" fillId="11" borderId="0" xfId="0" applyFont="1" applyFill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center"/>
      <protection locked="0"/>
    </xf>
    <xf numFmtId="9" fontId="18" fillId="11" borderId="0" xfId="3" applyFont="1" applyFill="1" applyBorder="1" applyAlignment="1" applyProtection="1">
      <alignment horizontal="center"/>
      <protection locked="0"/>
    </xf>
    <xf numFmtId="0" fontId="18" fillId="11" borderId="109" xfId="0" applyFont="1" applyFill="1" applyBorder="1" applyAlignment="1" applyProtection="1">
      <alignment horizontal="center" vertical="center"/>
      <protection locked="0"/>
    </xf>
    <xf numFmtId="9" fontId="66" fillId="26" borderId="111" xfId="0" applyNumberFormat="1" applyFont="1" applyFill="1" applyBorder="1" applyAlignment="1">
      <alignment horizontal="center" vertical="center" wrapText="1"/>
    </xf>
    <xf numFmtId="0" fontId="0" fillId="11" borderId="83" xfId="0" applyFill="1" applyBorder="1" applyAlignment="1" applyProtection="1">
      <alignment horizontal="right"/>
      <protection locked="0"/>
    </xf>
    <xf numFmtId="0" fontId="0" fillId="11" borderId="80" xfId="0" applyFill="1" applyBorder="1" applyAlignment="1" applyProtection="1">
      <alignment horizontal="center"/>
      <protection locked="0"/>
    </xf>
    <xf numFmtId="2" fontId="48" fillId="11" borderId="15" xfId="0" applyNumberFormat="1" applyFont="1" applyFill="1" applyBorder="1" applyAlignment="1" applyProtection="1">
      <alignment horizontal="center"/>
      <protection locked="0"/>
    </xf>
    <xf numFmtId="169" fontId="48" fillId="11" borderId="15" xfId="0" applyNumberFormat="1" applyFont="1" applyFill="1" applyBorder="1" applyAlignment="1" applyProtection="1">
      <alignment horizontal="center"/>
      <protection locked="0"/>
    </xf>
    <xf numFmtId="0" fontId="48" fillId="11" borderId="16" xfId="0" applyFont="1" applyFill="1" applyBorder="1" applyAlignment="1" applyProtection="1">
      <alignment horizontal="center"/>
      <protection locked="0"/>
    </xf>
    <xf numFmtId="0" fontId="0" fillId="21" borderId="0" xfId="0" applyFill="1" applyProtection="1">
      <protection locked="0"/>
    </xf>
    <xf numFmtId="0" fontId="0" fillId="0" borderId="0" xfId="0" applyAlignment="1">
      <alignment horizontal="left" wrapText="1"/>
    </xf>
    <xf numFmtId="0" fontId="18" fillId="0" borderId="7" xfId="0" applyFont="1" applyBorder="1"/>
    <xf numFmtId="0" fontId="0" fillId="0" borderId="33" xfId="0" applyBorder="1"/>
    <xf numFmtId="0" fontId="0" fillId="0" borderId="8" xfId="0" applyBorder="1"/>
    <xf numFmtId="0" fontId="18" fillId="29" borderId="9" xfId="0" applyFont="1" applyFill="1" applyBorder="1"/>
    <xf numFmtId="0" fontId="0" fillId="29" borderId="0" xfId="0" applyFill="1"/>
    <xf numFmtId="0" fontId="18" fillId="29" borderId="0" xfId="0" applyFont="1" applyFill="1" applyAlignment="1">
      <alignment horizontal="center" vertical="center"/>
    </xf>
    <xf numFmtId="0" fontId="18" fillId="29" borderId="10" xfId="0" applyFont="1" applyFill="1" applyBorder="1" applyAlignment="1">
      <alignment horizontal="center" vertical="center"/>
    </xf>
    <xf numFmtId="0" fontId="18" fillId="30" borderId="9" xfId="0" applyFont="1" applyFill="1" applyBorder="1"/>
    <xf numFmtId="0" fontId="0" fillId="30" borderId="0" xfId="0" applyFill="1"/>
    <xf numFmtId="0" fontId="0" fillId="30" borderId="0" xfId="0" applyFill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18" fillId="0" borderId="9" xfId="0" applyFont="1" applyBorder="1"/>
    <xf numFmtId="0" fontId="0" fillId="0" borderId="10" xfId="0" applyBorder="1" applyAlignment="1">
      <alignment horizontal="center" vertical="center"/>
    </xf>
    <xf numFmtId="0" fontId="0" fillId="28" borderId="0" xfId="0" applyFill="1"/>
    <xf numFmtId="0" fontId="18" fillId="0" borderId="9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09" xfId="0" applyBorder="1"/>
    <xf numFmtId="0" fontId="65" fillId="0" borderId="0" xfId="0" applyFont="1" applyAlignment="1">
      <alignment horizontal="center" vertical="center"/>
    </xf>
    <xf numFmtId="0" fontId="0" fillId="22" borderId="109" xfId="0" applyFill="1" applyBorder="1" applyAlignment="1">
      <alignment horizontal="center" vertical="center"/>
    </xf>
    <xf numFmtId="0" fontId="18" fillId="30" borderId="11" xfId="0" applyFont="1" applyFill="1" applyBorder="1"/>
    <xf numFmtId="0" fontId="0" fillId="30" borderId="13" xfId="0" applyFill="1" applyBorder="1"/>
    <xf numFmtId="0" fontId="0" fillId="30" borderId="13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18" fillId="27" borderId="110" xfId="0" applyFont="1" applyFill="1" applyBorder="1" applyAlignment="1">
      <alignment vertical="center"/>
    </xf>
    <xf numFmtId="0" fontId="18" fillId="27" borderId="110" xfId="0" applyFont="1" applyFill="1" applyBorder="1" applyAlignment="1">
      <alignment wrapText="1"/>
    </xf>
    <xf numFmtId="0" fontId="18" fillId="27" borderId="110" xfId="0" applyFont="1" applyFill="1" applyBorder="1" applyAlignment="1">
      <alignment horizontal="center" vertical="center"/>
    </xf>
    <xf numFmtId="0" fontId="18" fillId="27" borderId="109" xfId="0" applyFont="1" applyFill="1" applyBorder="1"/>
    <xf numFmtId="0" fontId="18" fillId="27" borderId="109" xfId="0" applyFont="1" applyFill="1" applyBorder="1" applyAlignment="1">
      <alignment horizontal="center" vertical="center"/>
    </xf>
    <xf numFmtId="0" fontId="72" fillId="0" borderId="0" xfId="0" applyFont="1" applyAlignment="1">
      <alignment horizontal="centerContinuous"/>
    </xf>
    <xf numFmtId="0" fontId="18" fillId="27" borderId="109" xfId="0" applyFont="1" applyFill="1" applyBorder="1" applyAlignment="1">
      <alignment vertical="center"/>
    </xf>
    <xf numFmtId="0" fontId="18" fillId="27" borderId="109" xfId="0" applyFont="1" applyFill="1" applyBorder="1" applyAlignment="1">
      <alignment wrapText="1"/>
    </xf>
    <xf numFmtId="0" fontId="18" fillId="10" borderId="0" xfId="0" applyFont="1" applyFill="1" applyAlignment="1">
      <alignment horizontal="center"/>
    </xf>
    <xf numFmtId="2" fontId="0" fillId="10" borderId="0" xfId="0" applyNumberFormat="1" applyFill="1"/>
    <xf numFmtId="0" fontId="0" fillId="10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horizontal="left"/>
    </xf>
    <xf numFmtId="0" fontId="18" fillId="9" borderId="14" xfId="0" applyFont="1" applyFill="1" applyBorder="1" applyAlignment="1">
      <alignment horizontal="center"/>
    </xf>
    <xf numFmtId="0" fontId="18" fillId="9" borderId="15" xfId="0" applyFont="1" applyFill="1" applyBorder="1" applyAlignment="1">
      <alignment horizontal="center"/>
    </xf>
    <xf numFmtId="164" fontId="0" fillId="0" borderId="18" xfId="0" applyNumberFormat="1" applyBorder="1"/>
    <xf numFmtId="0" fontId="18" fillId="0" borderId="26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0" fillId="0" borderId="0" xfId="0" applyNumberFormat="1"/>
    <xf numFmtId="0" fontId="18" fillId="10" borderId="0" xfId="0" applyFont="1" applyFill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8" fillId="15" borderId="7" xfId="0" applyFont="1" applyFill="1" applyBorder="1" applyAlignment="1">
      <alignment horizontal="center"/>
    </xf>
    <xf numFmtId="0" fontId="18" fillId="15" borderId="33" xfId="0" applyFont="1" applyFill="1" applyBorder="1" applyAlignment="1">
      <alignment horizontal="center"/>
    </xf>
    <xf numFmtId="0" fontId="18" fillId="15" borderId="8" xfId="0" applyFont="1" applyFill="1" applyBorder="1" applyAlignment="1">
      <alignment horizontal="center"/>
    </xf>
    <xf numFmtId="0" fontId="18" fillId="11" borderId="48" xfId="0" applyFont="1" applyFill="1" applyBorder="1" applyAlignment="1">
      <alignment horizontal="center"/>
    </xf>
    <xf numFmtId="0" fontId="18" fillId="11" borderId="49" xfId="0" applyFont="1" applyFill="1" applyBorder="1" applyAlignment="1">
      <alignment horizontal="center"/>
    </xf>
    <xf numFmtId="0" fontId="18" fillId="11" borderId="50" xfId="0" applyFont="1" applyFill="1" applyBorder="1" applyAlignment="1">
      <alignment horizontal="center"/>
    </xf>
    <xf numFmtId="0" fontId="31" fillId="0" borderId="7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18" fillId="11" borderId="13" xfId="0" applyFon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28" fillId="14" borderId="0" xfId="0" applyFont="1" applyFill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2" fontId="0" fillId="0" borderId="83" xfId="0" applyNumberFormat="1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43" fillId="20" borderId="7" xfId="2" applyBorder="1" applyAlignment="1" applyProtection="1">
      <alignment horizontal="center" vertical="center" wrapText="1"/>
    </xf>
    <xf numFmtId="0" fontId="43" fillId="20" borderId="8" xfId="2" applyBorder="1" applyAlignment="1" applyProtection="1">
      <alignment horizontal="center" vertical="center" wrapText="1"/>
    </xf>
    <xf numFmtId="0" fontId="43" fillId="20" borderId="9" xfId="2" applyBorder="1" applyAlignment="1" applyProtection="1">
      <alignment horizontal="center" vertical="center" wrapText="1"/>
    </xf>
    <xf numFmtId="0" fontId="43" fillId="20" borderId="10" xfId="2" applyBorder="1" applyAlignment="1" applyProtection="1">
      <alignment horizontal="center" vertical="center" wrapText="1"/>
    </xf>
    <xf numFmtId="0" fontId="43" fillId="20" borderId="11" xfId="2" applyBorder="1" applyAlignment="1" applyProtection="1">
      <alignment horizontal="center" vertical="center" wrapText="1"/>
    </xf>
    <xf numFmtId="0" fontId="43" fillId="20" borderId="12" xfId="2" applyBorder="1" applyAlignment="1" applyProtection="1">
      <alignment horizontal="center" vertical="center" wrapText="1"/>
    </xf>
    <xf numFmtId="0" fontId="0" fillId="0" borderId="31" xfId="0" applyBorder="1" applyAlignment="1">
      <alignment horizontal="right"/>
    </xf>
    <xf numFmtId="0" fontId="44" fillId="17" borderId="32" xfId="0" applyFont="1" applyFill="1" applyBorder="1" applyAlignment="1">
      <alignment horizontal="center" vertical="center"/>
    </xf>
    <xf numFmtId="0" fontId="44" fillId="17" borderId="31" xfId="0" applyFont="1" applyFill="1" applyBorder="1" applyAlignment="1">
      <alignment horizontal="center" vertical="center"/>
    </xf>
    <xf numFmtId="0" fontId="44" fillId="17" borderId="30" xfId="0" applyFont="1" applyFill="1" applyBorder="1" applyAlignment="1">
      <alignment horizontal="center" vertical="center"/>
    </xf>
    <xf numFmtId="0" fontId="45" fillId="17" borderId="7" xfId="0" applyFont="1" applyFill="1" applyBorder="1" applyAlignment="1">
      <alignment horizontal="center" vertical="center"/>
    </xf>
    <xf numFmtId="0" fontId="45" fillId="17" borderId="33" xfId="0" applyFont="1" applyFill="1" applyBorder="1" applyAlignment="1">
      <alignment horizontal="center" vertical="center"/>
    </xf>
    <xf numFmtId="0" fontId="45" fillId="17" borderId="8" xfId="0" applyFont="1" applyFill="1" applyBorder="1" applyAlignment="1">
      <alignment horizontal="center" vertical="center"/>
    </xf>
    <xf numFmtId="0" fontId="1" fillId="2" borderId="7" xfId="1" applyBorder="1" applyAlignment="1" applyProtection="1">
      <alignment horizontal="center" vertical="center" wrapText="1"/>
    </xf>
    <xf numFmtId="0" fontId="1" fillId="2" borderId="8" xfId="1" applyBorder="1" applyAlignment="1" applyProtection="1">
      <alignment horizontal="center" vertical="center" wrapText="1"/>
    </xf>
    <xf numFmtId="0" fontId="1" fillId="2" borderId="9" xfId="1" applyBorder="1" applyAlignment="1" applyProtection="1">
      <alignment horizontal="center" vertical="center" wrapText="1"/>
    </xf>
    <xf numFmtId="0" fontId="1" fillId="2" borderId="10" xfId="1" applyBorder="1" applyAlignment="1" applyProtection="1">
      <alignment horizontal="center" vertical="center" wrapText="1"/>
    </xf>
    <xf numFmtId="0" fontId="1" fillId="2" borderId="11" xfId="1" applyBorder="1" applyAlignment="1" applyProtection="1">
      <alignment horizontal="center" vertical="center" wrapText="1"/>
    </xf>
    <xf numFmtId="0" fontId="1" fillId="2" borderId="12" xfId="1" applyBorder="1" applyAlignment="1" applyProtection="1">
      <alignment horizontal="center" vertical="center" wrapText="1"/>
    </xf>
    <xf numFmtId="0" fontId="18" fillId="0" borderId="7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3" fillId="0" borderId="13" xfId="0" applyFont="1" applyBorder="1" applyAlignment="1">
      <alignment horizontal="left" wrapText="1"/>
    </xf>
    <xf numFmtId="0" fontId="18" fillId="11" borderId="33" xfId="0" applyFont="1" applyFill="1" applyBorder="1" applyAlignment="1" applyProtection="1">
      <alignment horizontal="center"/>
      <protection locked="0"/>
    </xf>
    <xf numFmtId="0" fontId="36" fillId="0" borderId="9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0" fillId="0" borderId="112" xfId="0" applyBorder="1" applyAlignment="1">
      <alignment horizontal="left" wrapText="1"/>
    </xf>
    <xf numFmtId="0" fontId="0" fillId="0" borderId="113" xfId="0" applyBorder="1" applyAlignment="1">
      <alignment horizontal="left" wrapText="1"/>
    </xf>
    <xf numFmtId="0" fontId="0" fillId="0" borderId="114" xfId="0" applyBorder="1" applyAlignment="1">
      <alignment horizontal="left"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2" fontId="50" fillId="0" borderId="15" xfId="0" applyNumberFormat="1" applyFont="1" applyBorder="1" applyAlignment="1">
      <alignment horizontal="center"/>
    </xf>
    <xf numFmtId="2" fontId="50" fillId="0" borderId="16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 wrapText="1"/>
    </xf>
    <xf numFmtId="0" fontId="31" fillId="0" borderId="17" xfId="0" applyFont="1" applyBorder="1" applyAlignment="1">
      <alignment horizontal="center" wrapText="1"/>
    </xf>
    <xf numFmtId="0" fontId="59" fillId="0" borderId="16" xfId="0" applyFont="1" applyBorder="1" applyAlignment="1">
      <alignment horizontal="center" wrapText="1"/>
    </xf>
    <xf numFmtId="0" fontId="59" fillId="0" borderId="19" xfId="0" applyFont="1" applyBorder="1" applyAlignment="1">
      <alignment horizontal="center" wrapText="1"/>
    </xf>
    <xf numFmtId="0" fontId="40" fillId="0" borderId="32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wrapText="1"/>
    </xf>
    <xf numFmtId="0" fontId="56" fillId="0" borderId="11" xfId="0" applyFont="1" applyBorder="1" applyAlignment="1">
      <alignment horizontal="center" wrapText="1"/>
    </xf>
    <xf numFmtId="0" fontId="56" fillId="0" borderId="77" xfId="0" applyFont="1" applyBorder="1" applyAlignment="1">
      <alignment horizontal="center" wrapText="1"/>
    </xf>
    <xf numFmtId="0" fontId="56" fillId="0" borderId="29" xfId="0" applyFont="1" applyBorder="1" applyAlignment="1">
      <alignment horizontal="center" wrapText="1"/>
    </xf>
    <xf numFmtId="0" fontId="57" fillId="0" borderId="7" xfId="0" applyFont="1" applyBorder="1" applyAlignment="1">
      <alignment horizontal="center" wrapText="1"/>
    </xf>
    <xf numFmtId="0" fontId="57" fillId="0" borderId="11" xfId="0" applyFont="1" applyBorder="1" applyAlignment="1">
      <alignment horizontal="center" wrapText="1"/>
    </xf>
    <xf numFmtId="0" fontId="52" fillId="17" borderId="0" xfId="0" applyFont="1" applyFill="1" applyAlignment="1">
      <alignment horizontal="center" vertical="center"/>
    </xf>
    <xf numFmtId="0" fontId="53" fillId="17" borderId="0" xfId="0" applyFont="1" applyFill="1" applyAlignment="1">
      <alignment horizontal="center" vertical="center" wrapText="1"/>
    </xf>
    <xf numFmtId="0" fontId="54" fillId="17" borderId="14" xfId="0" applyFont="1" applyFill="1" applyBorder="1" applyAlignment="1">
      <alignment horizontal="center" vertical="center"/>
    </xf>
    <xf numFmtId="0" fontId="54" fillId="17" borderId="16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18" fillId="24" borderId="13" xfId="0" applyFont="1" applyFill="1" applyBorder="1" applyAlignment="1">
      <alignment horizontal="center"/>
    </xf>
    <xf numFmtId="0" fontId="31" fillId="0" borderId="23" xfId="0" applyFont="1" applyBorder="1" applyAlignment="1">
      <alignment horizontal="center" wrapText="1"/>
    </xf>
    <xf numFmtId="0" fontId="59" fillId="0" borderId="22" xfId="0" applyFont="1" applyBorder="1" applyAlignment="1">
      <alignment horizontal="center" wrapText="1"/>
    </xf>
    <xf numFmtId="0" fontId="40" fillId="24" borderId="13" xfId="0" applyFont="1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22" fillId="12" borderId="32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22" fillId="12" borderId="30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7" xfId="0" quotePrefix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169" fontId="20" fillId="0" borderId="14" xfId="0" applyNumberFormat="1" applyFont="1" applyBorder="1" applyAlignment="1">
      <alignment horizontal="center" vertical="center"/>
    </xf>
    <xf numFmtId="169" fontId="20" fillId="0" borderId="16" xfId="0" applyNumberFormat="1" applyFont="1" applyBorder="1" applyAlignment="1">
      <alignment horizontal="center" vertical="center"/>
    </xf>
    <xf numFmtId="169" fontId="20" fillId="0" borderId="20" xfId="0" applyNumberFormat="1" applyFont="1" applyBorder="1" applyAlignment="1">
      <alignment horizontal="center" vertical="center"/>
    </xf>
    <xf numFmtId="169" fontId="20" fillId="0" borderId="21" xfId="0" applyNumberFormat="1" applyFont="1" applyBorder="1" applyAlignment="1">
      <alignment horizontal="center" vertical="center"/>
    </xf>
    <xf numFmtId="164" fontId="20" fillId="16" borderId="72" xfId="0" applyNumberFormat="1" applyFont="1" applyFill="1" applyBorder="1" applyAlignment="1">
      <alignment horizontal="center" vertical="center" wrapText="1"/>
    </xf>
    <xf numFmtId="164" fontId="20" fillId="16" borderId="73" xfId="0" applyNumberFormat="1" applyFont="1" applyFill="1" applyBorder="1" applyAlignment="1">
      <alignment horizontal="center" vertical="center" wrapText="1"/>
    </xf>
    <xf numFmtId="164" fontId="20" fillId="16" borderId="74" xfId="0" applyNumberFormat="1" applyFont="1" applyFill="1" applyBorder="1" applyAlignment="1">
      <alignment horizontal="center" vertical="center" wrapText="1"/>
    </xf>
    <xf numFmtId="164" fontId="20" fillId="16" borderId="9" xfId="0" applyNumberFormat="1" applyFont="1" applyFill="1" applyBorder="1" applyAlignment="1">
      <alignment horizontal="center" vertical="center" wrapText="1"/>
    </xf>
    <xf numFmtId="164" fontId="20" fillId="16" borderId="0" xfId="0" applyNumberFormat="1" applyFont="1" applyFill="1" applyAlignment="1">
      <alignment horizontal="center" vertical="center" wrapText="1"/>
    </xf>
    <xf numFmtId="164" fontId="20" fillId="16" borderId="10" xfId="0" applyNumberFormat="1" applyFont="1" applyFill="1" applyBorder="1" applyAlignment="1">
      <alignment horizontal="center" vertical="center" wrapText="1"/>
    </xf>
    <xf numFmtId="164" fontId="20" fillId="16" borderId="11" xfId="0" applyNumberFormat="1" applyFont="1" applyFill="1" applyBorder="1" applyAlignment="1">
      <alignment horizontal="center" vertical="center" wrapText="1"/>
    </xf>
    <xf numFmtId="164" fontId="20" fillId="16" borderId="13" xfId="0" applyNumberFormat="1" applyFont="1" applyFill="1" applyBorder="1" applyAlignment="1">
      <alignment horizontal="center" vertical="center" wrapText="1"/>
    </xf>
    <xf numFmtId="164" fontId="20" fillId="16" borderId="12" xfId="0" applyNumberFormat="1" applyFont="1" applyFill="1" applyBorder="1" applyAlignment="1">
      <alignment horizontal="center" vertical="center" wrapText="1"/>
    </xf>
    <xf numFmtId="169" fontId="20" fillId="0" borderId="17" xfId="0" applyNumberFormat="1" applyFont="1" applyBorder="1" applyAlignment="1">
      <alignment horizontal="center" vertical="center"/>
    </xf>
    <xf numFmtId="169" fontId="20" fillId="0" borderId="19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7" fillId="11" borderId="9" xfId="0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Alignment="1" applyProtection="1">
      <alignment horizontal="center" vertical="center"/>
      <protection locked="0"/>
    </xf>
    <xf numFmtId="0" fontId="27" fillId="11" borderId="10" xfId="0" applyFont="1" applyFill="1" applyBorder="1" applyAlignment="1" applyProtection="1">
      <alignment horizontal="center" vertical="center"/>
      <protection locked="0"/>
    </xf>
    <xf numFmtId="0" fontId="27" fillId="11" borderId="11" xfId="0" applyFont="1" applyFill="1" applyBorder="1" applyAlignment="1" applyProtection="1">
      <alignment horizontal="center" vertical="center"/>
      <protection locked="0"/>
    </xf>
    <xf numFmtId="0" fontId="27" fillId="11" borderId="13" xfId="0" applyFont="1" applyFill="1" applyBorder="1" applyAlignment="1" applyProtection="1">
      <alignment horizontal="center" vertical="center"/>
      <protection locked="0"/>
    </xf>
    <xf numFmtId="0" fontId="27" fillId="11" borderId="12" xfId="0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14" fontId="20" fillId="0" borderId="3" xfId="0" applyNumberFormat="1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33" fillId="13" borderId="32" xfId="0" applyFont="1" applyFill="1" applyBorder="1" applyAlignment="1">
      <alignment horizontal="center"/>
    </xf>
    <xf numFmtId="0" fontId="33" fillId="13" borderId="31" xfId="0" applyFont="1" applyFill="1" applyBorder="1" applyAlignment="1">
      <alignment horizontal="center"/>
    </xf>
    <xf numFmtId="0" fontId="33" fillId="13" borderId="30" xfId="0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textRotation="90"/>
    </xf>
    <xf numFmtId="0" fontId="0" fillId="0" borderId="69" xfId="0" applyBorder="1" applyAlignment="1">
      <alignment horizontal="center" textRotation="90"/>
    </xf>
    <xf numFmtId="0" fontId="21" fillId="0" borderId="3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32" fillId="11" borderId="9" xfId="0" applyFont="1" applyFill="1" applyBorder="1" applyAlignment="1" applyProtection="1">
      <alignment horizontal="center" vertical="center"/>
      <protection locked="0"/>
    </xf>
    <xf numFmtId="0" fontId="32" fillId="11" borderId="0" xfId="0" applyFont="1" applyFill="1" applyAlignment="1" applyProtection="1">
      <alignment horizontal="center" vertical="center"/>
      <protection locked="0"/>
    </xf>
    <xf numFmtId="0" fontId="32" fillId="11" borderId="10" xfId="0" applyFont="1" applyFill="1" applyBorder="1" applyAlignment="1" applyProtection="1">
      <alignment horizontal="center" vertical="center"/>
      <protection locked="0"/>
    </xf>
    <xf numFmtId="0" fontId="32" fillId="11" borderId="11" xfId="0" applyFont="1" applyFill="1" applyBorder="1" applyAlignment="1" applyProtection="1">
      <alignment horizontal="center" vertical="center"/>
      <protection locked="0"/>
    </xf>
    <xf numFmtId="0" fontId="32" fillId="11" borderId="13" xfId="0" applyFont="1" applyFill="1" applyBorder="1" applyAlignment="1" applyProtection="1">
      <alignment horizontal="center" vertical="center"/>
      <protection locked="0"/>
    </xf>
    <xf numFmtId="0" fontId="32" fillId="11" borderId="12" xfId="0" applyFont="1" applyFill="1" applyBorder="1" applyAlignment="1" applyProtection="1">
      <alignment horizontal="center" vertical="center"/>
      <protection locked="0"/>
    </xf>
    <xf numFmtId="0" fontId="20" fillId="0" borderId="4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5" fillId="0" borderId="54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164" fontId="20" fillId="16" borderId="11" xfId="0" applyNumberFormat="1" applyFont="1" applyFill="1" applyBorder="1" applyAlignment="1">
      <alignment horizontal="center" vertical="center"/>
    </xf>
    <xf numFmtId="164" fontId="20" fillId="16" borderId="13" xfId="0" applyNumberFormat="1" applyFont="1" applyFill="1" applyBorder="1" applyAlignment="1">
      <alignment horizontal="center" vertical="center"/>
    </xf>
    <xf numFmtId="164" fontId="20" fillId="16" borderId="12" xfId="0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164" fontId="34" fillId="16" borderId="14" xfId="0" applyNumberFormat="1" applyFont="1" applyFill="1" applyBorder="1" applyAlignment="1" applyProtection="1">
      <alignment horizontal="center" vertical="center"/>
      <protection locked="0"/>
    </xf>
    <xf numFmtId="164" fontId="34" fillId="16" borderId="16" xfId="0" applyNumberFormat="1" applyFont="1" applyFill="1" applyBorder="1" applyAlignment="1" applyProtection="1">
      <alignment horizontal="center" vertical="center"/>
      <protection locked="0"/>
    </xf>
    <xf numFmtId="0" fontId="34" fillId="16" borderId="16" xfId="0" applyFont="1" applyFill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6" xfId="0" applyFont="1" applyBorder="1" applyAlignment="1" applyProtection="1">
      <alignment horizontal="center" vertical="center"/>
      <protection locked="0"/>
    </xf>
    <xf numFmtId="0" fontId="34" fillId="0" borderId="35" xfId="0" applyFont="1" applyBorder="1" applyAlignment="1">
      <alignment horizontal="center" vertical="center"/>
    </xf>
    <xf numFmtId="164" fontId="34" fillId="16" borderId="20" xfId="0" applyNumberFormat="1" applyFont="1" applyFill="1" applyBorder="1" applyAlignment="1" applyProtection="1">
      <alignment horizontal="center" vertical="center"/>
      <protection locked="0"/>
    </xf>
    <xf numFmtId="164" fontId="34" fillId="16" borderId="21" xfId="0" applyNumberFormat="1" applyFont="1" applyFill="1" applyBorder="1" applyAlignment="1" applyProtection="1">
      <alignment horizontal="center" vertical="center"/>
      <protection locked="0"/>
    </xf>
    <xf numFmtId="0" fontId="34" fillId="16" borderId="21" xfId="0" applyFont="1" applyFill="1" applyBorder="1" applyAlignment="1" applyProtection="1">
      <alignment horizontal="center" vertical="center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164" fontId="34" fillId="16" borderId="72" xfId="0" applyNumberFormat="1" applyFont="1" applyFill="1" applyBorder="1" applyAlignment="1">
      <alignment horizontal="center" vertical="center" wrapText="1"/>
    </xf>
    <xf numFmtId="164" fontId="34" fillId="16" borderId="73" xfId="0" applyNumberFormat="1" applyFont="1" applyFill="1" applyBorder="1" applyAlignment="1">
      <alignment horizontal="center" vertical="center" wrapText="1"/>
    </xf>
    <xf numFmtId="164" fontId="34" fillId="16" borderId="74" xfId="0" applyNumberFormat="1" applyFont="1" applyFill="1" applyBorder="1" applyAlignment="1">
      <alignment horizontal="center" vertical="center" wrapText="1"/>
    </xf>
    <xf numFmtId="164" fontId="34" fillId="16" borderId="9" xfId="0" applyNumberFormat="1" applyFont="1" applyFill="1" applyBorder="1" applyAlignment="1">
      <alignment horizontal="center" vertical="center" wrapText="1"/>
    </xf>
    <xf numFmtId="164" fontId="34" fillId="16" borderId="0" xfId="0" applyNumberFormat="1" applyFont="1" applyFill="1" applyAlignment="1">
      <alignment horizontal="center" vertical="center" wrapText="1"/>
    </xf>
    <xf numFmtId="164" fontId="34" fillId="16" borderId="10" xfId="0" applyNumberFormat="1" applyFont="1" applyFill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46" xfId="0" applyFont="1" applyBorder="1" applyAlignment="1" applyProtection="1">
      <alignment horizontal="center" vertical="center"/>
      <protection locked="0"/>
    </xf>
    <xf numFmtId="0" fontId="34" fillId="0" borderId="89" xfId="0" applyFont="1" applyBorder="1" applyAlignment="1" applyProtection="1">
      <alignment horizontal="center" vertical="center"/>
      <protection locked="0"/>
    </xf>
    <xf numFmtId="0" fontId="34" fillId="0" borderId="34" xfId="0" applyFont="1" applyBorder="1" applyAlignment="1">
      <alignment horizontal="center" vertical="center"/>
    </xf>
    <xf numFmtId="164" fontId="34" fillId="16" borderId="11" xfId="0" applyNumberFormat="1" applyFont="1" applyFill="1" applyBorder="1" applyAlignment="1">
      <alignment horizontal="center" vertical="center" wrapText="1"/>
    </xf>
    <xf numFmtId="164" fontId="34" fillId="16" borderId="13" xfId="0" applyNumberFormat="1" applyFont="1" applyFill="1" applyBorder="1" applyAlignment="1">
      <alignment horizontal="center" vertical="center" wrapText="1"/>
    </xf>
    <xf numFmtId="164" fontId="34" fillId="16" borderId="12" xfId="0" applyNumberFormat="1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</cellXfs>
  <cellStyles count="4">
    <cellStyle name="Bad" xfId="2" builtinId="27"/>
    <cellStyle name="Good" xfId="1" builtinId="26"/>
    <cellStyle name="Normal" xfId="0" builtinId="0"/>
    <cellStyle name="Percent" xfId="3" builtinId="5"/>
  </cellStyles>
  <dxfs count="5">
    <dxf>
      <fill>
        <patternFill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rgb="FFFA4B2E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 val="0"/>
        <i val="0"/>
        <strike val="0"/>
      </font>
      <fill>
        <patternFill>
          <bgColor theme="0" tint="-4.9989318521683403E-2"/>
        </patternFill>
      </fill>
    </dxf>
    <dxf>
      <font>
        <b val="0"/>
        <i val="0"/>
        <strike val="0"/>
      </font>
      <fill>
        <patternFill>
          <bgColor theme="0" tint="-4.9989318521683403E-2"/>
        </patternFill>
      </fill>
    </dxf>
  </dxfs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RPM vs Speed (blue) and Litres/hour (red)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'[1]PJ31 RPMvsSpeed'!$B$10:$B$26</c:f>
              <c:strCache>
                <c:ptCount val="17"/>
                <c:pt idx="0">
                  <c:v>Idle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2750</c:v>
                </c:pt>
                <c:pt idx="6">
                  <c:v>3000</c:v>
                </c:pt>
                <c:pt idx="7">
                  <c:v>3250</c:v>
                </c:pt>
                <c:pt idx="8">
                  <c:v>3500</c:v>
                </c:pt>
                <c:pt idx="9">
                  <c:v>3650</c:v>
                </c:pt>
                <c:pt idx="10">
                  <c:v>3800</c:v>
                </c:pt>
                <c:pt idx="11">
                  <c:v>4000</c:v>
                </c:pt>
                <c:pt idx="12">
                  <c:v>4300</c:v>
                </c:pt>
                <c:pt idx="13">
                  <c:v>4500</c:v>
                </c:pt>
                <c:pt idx="14">
                  <c:v>5000</c:v>
                </c:pt>
                <c:pt idx="15">
                  <c:v>5500</c:v>
                </c:pt>
                <c:pt idx="16">
                  <c:v>6250</c:v>
                </c:pt>
              </c:strCache>
            </c:strRef>
          </c:cat>
          <c:val>
            <c:numRef>
              <c:f>'[1]PJ31 RPMvsSpeed'!$H$10:$H$26</c:f>
              <c:numCache>
                <c:formatCode>General</c:formatCode>
                <c:ptCount val="17"/>
                <c:pt idx="0">
                  <c:v>3</c:v>
                </c:pt>
                <c:pt idx="1">
                  <c:v>4.7</c:v>
                </c:pt>
                <c:pt idx="2">
                  <c:v>6.9</c:v>
                </c:pt>
                <c:pt idx="3">
                  <c:v>8.1999999999999993</c:v>
                </c:pt>
                <c:pt idx="4">
                  <c:v>9.8000000000000007</c:v>
                </c:pt>
                <c:pt idx="5">
                  <c:v>10.8</c:v>
                </c:pt>
                <c:pt idx="6">
                  <c:v>12.8</c:v>
                </c:pt>
                <c:pt idx="7">
                  <c:v>13.8</c:v>
                </c:pt>
                <c:pt idx="8">
                  <c:v>16</c:v>
                </c:pt>
                <c:pt idx="9">
                  <c:v>18.899999999999999</c:v>
                </c:pt>
                <c:pt idx="10">
                  <c:v>20.399999999999999</c:v>
                </c:pt>
                <c:pt idx="11">
                  <c:v>23.7</c:v>
                </c:pt>
                <c:pt idx="12">
                  <c:v>27</c:v>
                </c:pt>
                <c:pt idx="13">
                  <c:v>29</c:v>
                </c:pt>
                <c:pt idx="14">
                  <c:v>32.5</c:v>
                </c:pt>
                <c:pt idx="15">
                  <c:v>37</c:v>
                </c:pt>
                <c:pt idx="1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D-47D1-963B-282921275F1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'[1]PJ31 RPMvsSpeed'!$B$10:$B$26</c:f>
              <c:strCache>
                <c:ptCount val="17"/>
                <c:pt idx="0">
                  <c:v>Idle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2750</c:v>
                </c:pt>
                <c:pt idx="6">
                  <c:v>3000</c:v>
                </c:pt>
                <c:pt idx="7">
                  <c:v>3250</c:v>
                </c:pt>
                <c:pt idx="8">
                  <c:v>3500</c:v>
                </c:pt>
                <c:pt idx="9">
                  <c:v>3650</c:v>
                </c:pt>
                <c:pt idx="10">
                  <c:v>3800</c:v>
                </c:pt>
                <c:pt idx="11">
                  <c:v>4000</c:v>
                </c:pt>
                <c:pt idx="12">
                  <c:v>4300</c:v>
                </c:pt>
                <c:pt idx="13">
                  <c:v>4500</c:v>
                </c:pt>
                <c:pt idx="14">
                  <c:v>5000</c:v>
                </c:pt>
                <c:pt idx="15">
                  <c:v>5500</c:v>
                </c:pt>
                <c:pt idx="16">
                  <c:v>6250</c:v>
                </c:pt>
              </c:strCache>
            </c:strRef>
          </c:cat>
          <c:val>
            <c:numRef>
              <c:f>'[1]PJ31 RPMvsSpeed'!$I$10:$I$26</c:f>
              <c:numCache>
                <c:formatCode>0.00</c:formatCode>
                <c:ptCount val="17"/>
                <c:pt idx="0">
                  <c:v>1.4666666666666668</c:v>
                </c:pt>
                <c:pt idx="1">
                  <c:v>1.8297872340425529</c:v>
                </c:pt>
                <c:pt idx="2">
                  <c:v>2.1739130434782608</c:v>
                </c:pt>
                <c:pt idx="3">
                  <c:v>2.6341463414634152</c:v>
                </c:pt>
                <c:pt idx="4">
                  <c:v>3.1836734693877546</c:v>
                </c:pt>
                <c:pt idx="5">
                  <c:v>3.7685185185185186</c:v>
                </c:pt>
                <c:pt idx="6">
                  <c:v>3.7890625</c:v>
                </c:pt>
                <c:pt idx="7">
                  <c:v>3.8405797101449273</c:v>
                </c:pt>
                <c:pt idx="8">
                  <c:v>3.75</c:v>
                </c:pt>
                <c:pt idx="9">
                  <c:v>3.6507936507936511</c:v>
                </c:pt>
                <c:pt idx="10">
                  <c:v>3.5294117647058827</c:v>
                </c:pt>
                <c:pt idx="11">
                  <c:v>3.3206751054852321</c:v>
                </c:pt>
                <c:pt idx="12">
                  <c:v>3.4814814814814814</c:v>
                </c:pt>
                <c:pt idx="13">
                  <c:v>3.6896551724137931</c:v>
                </c:pt>
                <c:pt idx="14">
                  <c:v>4.1846153846153848</c:v>
                </c:pt>
                <c:pt idx="15">
                  <c:v>4.756756756756757</c:v>
                </c:pt>
                <c:pt idx="16">
                  <c:v>5.1904761904761907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D-47D1-963B-28292127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3235424"/>
        <c:axId val="603235784"/>
      </c:barChart>
      <c:catAx>
        <c:axId val="603235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35784"/>
        <c:crosses val="autoZero"/>
        <c:auto val="1"/>
        <c:lblAlgn val="ctr"/>
        <c:lblOffset val="100"/>
        <c:noMultiLvlLbl val="0"/>
      </c:catAx>
      <c:valAx>
        <c:axId val="60323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3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RPM vs Litres per Nautical Mile - efficency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'[1]PJ31 RPMvsSpeed'!$B$10:$B$26</c:f>
              <c:strCache>
                <c:ptCount val="17"/>
                <c:pt idx="0">
                  <c:v>Idle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2750</c:v>
                </c:pt>
                <c:pt idx="6">
                  <c:v>3000</c:v>
                </c:pt>
                <c:pt idx="7">
                  <c:v>3250</c:v>
                </c:pt>
                <c:pt idx="8">
                  <c:v>3500</c:v>
                </c:pt>
                <c:pt idx="9">
                  <c:v>3650</c:v>
                </c:pt>
                <c:pt idx="10">
                  <c:v>3800</c:v>
                </c:pt>
                <c:pt idx="11">
                  <c:v>4000</c:v>
                </c:pt>
                <c:pt idx="12">
                  <c:v>4300</c:v>
                </c:pt>
                <c:pt idx="13">
                  <c:v>4500</c:v>
                </c:pt>
                <c:pt idx="14">
                  <c:v>5000</c:v>
                </c:pt>
                <c:pt idx="15">
                  <c:v>5500</c:v>
                </c:pt>
                <c:pt idx="16">
                  <c:v>6250</c:v>
                </c:pt>
              </c:strCache>
            </c:strRef>
          </c:cat>
          <c:val>
            <c:numRef>
              <c:f>'[1]PJ31 RPMvsSpeed'!$I$10:$I$26</c:f>
              <c:numCache>
                <c:formatCode>0.00</c:formatCode>
                <c:ptCount val="17"/>
                <c:pt idx="0">
                  <c:v>1.4666666666666668</c:v>
                </c:pt>
                <c:pt idx="1">
                  <c:v>1.8297872340425529</c:v>
                </c:pt>
                <c:pt idx="2">
                  <c:v>2.1739130434782608</c:v>
                </c:pt>
                <c:pt idx="3">
                  <c:v>2.6341463414634152</c:v>
                </c:pt>
                <c:pt idx="4">
                  <c:v>3.1836734693877546</c:v>
                </c:pt>
                <c:pt idx="5">
                  <c:v>3.7685185185185186</c:v>
                </c:pt>
                <c:pt idx="6">
                  <c:v>3.7890625</c:v>
                </c:pt>
                <c:pt idx="7">
                  <c:v>3.8405797101449273</c:v>
                </c:pt>
                <c:pt idx="8">
                  <c:v>3.75</c:v>
                </c:pt>
                <c:pt idx="9">
                  <c:v>3.6507936507936511</c:v>
                </c:pt>
                <c:pt idx="10">
                  <c:v>3.5294117647058827</c:v>
                </c:pt>
                <c:pt idx="11">
                  <c:v>3.3206751054852321</c:v>
                </c:pt>
                <c:pt idx="12">
                  <c:v>3.4814814814814814</c:v>
                </c:pt>
                <c:pt idx="13">
                  <c:v>3.6896551724137931</c:v>
                </c:pt>
                <c:pt idx="14">
                  <c:v>4.1846153846153848</c:v>
                </c:pt>
                <c:pt idx="15">
                  <c:v>4.756756756756757</c:v>
                </c:pt>
                <c:pt idx="16">
                  <c:v>5.1904761904761907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D-415B-95F3-BAFE9395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78512208"/>
        <c:axId val="391345880"/>
      </c:barChart>
      <c:catAx>
        <c:axId val="478512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45880"/>
        <c:crosses val="autoZero"/>
        <c:auto val="1"/>
        <c:lblAlgn val="ctr"/>
        <c:lblOffset val="100"/>
        <c:noMultiLvlLbl val="0"/>
      </c:catAx>
      <c:valAx>
        <c:axId val="39134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51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15</xdr:row>
      <xdr:rowOff>30481</xdr:rowOff>
    </xdr:from>
    <xdr:to>
      <xdr:col>9</xdr:col>
      <xdr:colOff>666750</xdr:colOff>
      <xdr:row>20</xdr:row>
      <xdr:rowOff>19050</xdr:rowOff>
    </xdr:to>
    <xdr:sp macro="" textlink="">
      <xdr:nvSpPr>
        <xdr:cNvPr id="2" name="Arrow: Left-Up 1">
          <a:extLst>
            <a:ext uri="{FF2B5EF4-FFF2-40B4-BE49-F238E27FC236}">
              <a16:creationId xmlns:a16="http://schemas.microsoft.com/office/drawing/2014/main" id="{8FF24C56-DD99-47FD-8BD3-1D8EA2CC7B6B}"/>
            </a:ext>
          </a:extLst>
        </xdr:cNvPr>
        <xdr:cNvSpPr/>
      </xdr:nvSpPr>
      <xdr:spPr>
        <a:xfrm>
          <a:off x="7286625" y="4345306"/>
          <a:ext cx="1724025" cy="1093469"/>
        </a:xfrm>
        <a:prstGeom prst="leftUpArrow">
          <a:avLst>
            <a:gd name="adj1" fmla="val 25000"/>
            <a:gd name="adj2" fmla="val 26351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28</xdr:row>
      <xdr:rowOff>0</xdr:rowOff>
    </xdr:from>
    <xdr:to>
      <xdr:col>13</xdr:col>
      <xdr:colOff>714375</xdr:colOff>
      <xdr:row>64</xdr:row>
      <xdr:rowOff>179389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AA0D25-A975-423F-B03C-4A7C236CC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146052</xdr:rowOff>
    </xdr:from>
    <xdr:to>
      <xdr:col>13</xdr:col>
      <xdr:colOff>714375</xdr:colOff>
      <xdr:row>1048576</xdr:row>
      <xdr:rowOff>3560765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0F0C69-3ECB-409B-9413-C941F838A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pba\Marine%20Rescue%20PJ%20Dropbox\Paul%20Ballard\Marine%20Rescue\Resource\Navigation%20and%20NATSAR\Compass-Voyage-Range%20Calculator.xlsx" TargetMode="External"/><Relationship Id="rId1" Type="http://schemas.openxmlformats.org/officeDocument/2006/relationships/externalLinkPath" Target="/Users/mrpba/Marine%20Rescue%20PJ%20Dropbox/Paul%20Ballard/Marine%20Rescue/Resource/Navigation%20and%20NATSAR/Compass-Voyage-Range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-D-T Calc"/>
      <sheetName val="SAR"/>
      <sheetName val="Track Spacing"/>
      <sheetName val="Sweep Width"/>
      <sheetName val="CDMVT"/>
      <sheetName val="TVMDC"/>
      <sheetName val="Range Calc"/>
      <sheetName val="PJ31 RPMvsSpeed"/>
      <sheetName val="PJ20 RPMvsSPEED"/>
      <sheetName val="VoyageDistanceTime"/>
      <sheetName val="VOYAGE PLAN Calc"/>
      <sheetName val="PJ31 Deviation Card"/>
      <sheetName val="PJ20 Deviation C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>Idle</v>
          </cell>
          <cell r="H10">
            <v>3</v>
          </cell>
          <cell r="I10">
            <v>1.4666666666666668</v>
          </cell>
        </row>
        <row r="11">
          <cell r="B11">
            <v>1000</v>
          </cell>
          <cell r="H11">
            <v>4.7</v>
          </cell>
          <cell r="I11">
            <v>1.8297872340425529</v>
          </cell>
        </row>
        <row r="12">
          <cell r="B12">
            <v>1500</v>
          </cell>
          <cell r="H12">
            <v>6.9</v>
          </cell>
          <cell r="I12">
            <v>2.1739130434782608</v>
          </cell>
        </row>
        <row r="13">
          <cell r="B13">
            <v>2000</v>
          </cell>
          <cell r="H13">
            <v>8.1999999999999993</v>
          </cell>
          <cell r="I13">
            <v>2.6341463414634152</v>
          </cell>
        </row>
        <row r="14">
          <cell r="B14">
            <v>2500</v>
          </cell>
          <cell r="H14">
            <v>9.8000000000000007</v>
          </cell>
          <cell r="I14">
            <v>3.1836734693877546</v>
          </cell>
        </row>
        <row r="15">
          <cell r="B15">
            <v>2750</v>
          </cell>
          <cell r="H15">
            <v>10.8</v>
          </cell>
          <cell r="I15">
            <v>3.7685185185185186</v>
          </cell>
        </row>
        <row r="16">
          <cell r="B16">
            <v>3000</v>
          </cell>
          <cell r="H16">
            <v>12.8</v>
          </cell>
          <cell r="I16">
            <v>3.7890625</v>
          </cell>
        </row>
        <row r="17">
          <cell r="B17">
            <v>3250</v>
          </cell>
          <cell r="H17">
            <v>13.8</v>
          </cell>
          <cell r="I17">
            <v>3.8405797101449273</v>
          </cell>
        </row>
        <row r="18">
          <cell r="B18">
            <v>3500</v>
          </cell>
          <cell r="H18">
            <v>16</v>
          </cell>
          <cell r="I18">
            <v>3.75</v>
          </cell>
        </row>
        <row r="19">
          <cell r="B19">
            <v>3650</v>
          </cell>
          <cell r="H19">
            <v>18.899999999999999</v>
          </cell>
          <cell r="I19">
            <v>3.6507936507936511</v>
          </cell>
        </row>
        <row r="20">
          <cell r="B20">
            <v>3800</v>
          </cell>
          <cell r="H20">
            <v>20.399999999999999</v>
          </cell>
          <cell r="I20">
            <v>3.5294117647058827</v>
          </cell>
        </row>
        <row r="21">
          <cell r="B21">
            <v>4000</v>
          </cell>
          <cell r="H21">
            <v>23.7</v>
          </cell>
          <cell r="I21">
            <v>3.3206751054852321</v>
          </cell>
        </row>
        <row r="22">
          <cell r="B22">
            <v>4300</v>
          </cell>
          <cell r="H22">
            <v>27</v>
          </cell>
          <cell r="I22">
            <v>3.4814814814814814</v>
          </cell>
        </row>
        <row r="23">
          <cell r="B23">
            <v>4500</v>
          </cell>
          <cell r="H23">
            <v>29</v>
          </cell>
          <cell r="I23">
            <v>3.6896551724137931</v>
          </cell>
        </row>
        <row r="24">
          <cell r="B24">
            <v>5000</v>
          </cell>
          <cell r="H24">
            <v>32.5</v>
          </cell>
          <cell r="I24">
            <v>4.1846153846153848</v>
          </cell>
        </row>
        <row r="25">
          <cell r="B25">
            <v>5500</v>
          </cell>
          <cell r="H25">
            <v>37</v>
          </cell>
          <cell r="I25">
            <v>4.756756756756757</v>
          </cell>
        </row>
        <row r="26">
          <cell r="B26">
            <v>6250</v>
          </cell>
          <cell r="H26">
            <v>42</v>
          </cell>
          <cell r="I26">
            <v>5.1904761904761907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workbookViewId="0">
      <selection activeCell="C15" sqref="C15"/>
    </sheetView>
  </sheetViews>
  <sheetFormatPr defaultColWidth="0" defaultRowHeight="14.5" zeroHeight="1" x14ac:dyDescent="0.35"/>
  <cols>
    <col min="1" max="1" width="1.7265625" style="63" customWidth="1"/>
    <col min="2" max="2" width="7.6328125" style="436" customWidth="1"/>
    <col min="3" max="3" width="9.1796875" style="436" customWidth="1"/>
    <col min="4" max="4" width="7.26953125" style="437" customWidth="1"/>
    <col min="5" max="5" width="7.26953125" customWidth="1"/>
    <col min="6" max="6" width="9.1796875" customWidth="1"/>
    <col min="7" max="7" width="1.7265625" style="63" customWidth="1"/>
    <col min="8" max="8" width="7" customWidth="1"/>
    <col min="9" max="9" width="9.1796875" customWidth="1"/>
    <col min="10" max="11" width="7.26953125" customWidth="1"/>
    <col min="12" max="12" width="9.1796875" customWidth="1"/>
    <col min="13" max="13" width="1.7265625" style="63" customWidth="1"/>
    <col min="14" max="18" width="9.1796875" customWidth="1"/>
    <col min="19" max="19" width="1.7265625" style="63" customWidth="1"/>
    <col min="20" max="22" width="9.1796875" customWidth="1"/>
    <col min="23" max="16384" width="9.1796875" hidden="1"/>
  </cols>
  <sheetData>
    <row r="1" spans="1:22" s="63" customFormat="1" x14ac:dyDescent="0.35">
      <c r="B1" s="420"/>
      <c r="C1" s="420"/>
      <c r="D1" s="421"/>
    </row>
    <row r="2" spans="1:22" s="423" customFormat="1" ht="23.5" x14ac:dyDescent="0.35">
      <c r="A2" s="422"/>
      <c r="B2" s="456" t="s">
        <v>161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22"/>
      <c r="N2" s="457" t="s">
        <v>162</v>
      </c>
      <c r="O2" s="457"/>
      <c r="P2" s="457"/>
      <c r="Q2" s="457"/>
      <c r="R2" s="457"/>
      <c r="S2" s="422"/>
      <c r="T2" s="423" t="s">
        <v>80</v>
      </c>
    </row>
    <row r="3" spans="1:22" s="62" customFormat="1" ht="15" thickBot="1" x14ac:dyDescent="0.4">
      <c r="A3" s="424"/>
      <c r="B3" s="453" t="s">
        <v>130</v>
      </c>
      <c r="C3" s="453"/>
      <c r="D3" s="453"/>
      <c r="E3" s="453"/>
      <c r="F3" s="453"/>
      <c r="G3" s="424"/>
      <c r="H3" s="453" t="s">
        <v>130</v>
      </c>
      <c r="I3" s="453"/>
      <c r="J3" s="453"/>
      <c r="K3" s="453"/>
      <c r="L3" s="453"/>
      <c r="M3" s="424"/>
      <c r="N3" s="453" t="s">
        <v>130</v>
      </c>
      <c r="O3" s="453"/>
      <c r="P3" s="453"/>
      <c r="Q3" s="453"/>
      <c r="R3" s="453"/>
      <c r="S3" s="424"/>
      <c r="T3" s="62" t="s">
        <v>82</v>
      </c>
    </row>
    <row r="4" spans="1:22" x14ac:dyDescent="0.35">
      <c r="B4" s="425"/>
      <c r="C4" s="426"/>
      <c r="D4" s="454" t="s">
        <v>25</v>
      </c>
      <c r="E4" s="454"/>
      <c r="F4" s="455"/>
      <c r="H4" s="425"/>
      <c r="I4" s="426"/>
      <c r="J4" s="454" t="s">
        <v>25</v>
      </c>
      <c r="K4" s="454"/>
      <c r="L4" s="455"/>
      <c r="N4" s="425"/>
      <c r="O4" s="426"/>
      <c r="P4" s="454" t="s">
        <v>25</v>
      </c>
      <c r="Q4" s="454"/>
      <c r="R4" s="455"/>
    </row>
    <row r="5" spans="1:22" ht="15" thickBot="1" x14ac:dyDescent="0.4">
      <c r="B5" s="64" t="s">
        <v>131</v>
      </c>
      <c r="C5" s="65" t="s">
        <v>40</v>
      </c>
      <c r="D5" s="66" t="s">
        <v>132</v>
      </c>
      <c r="E5" s="67" t="s">
        <v>133</v>
      </c>
      <c r="F5" s="68" t="s">
        <v>134</v>
      </c>
      <c r="H5" s="64" t="s">
        <v>131</v>
      </c>
      <c r="I5" s="65" t="s">
        <v>40</v>
      </c>
      <c r="J5" s="66" t="s">
        <v>132</v>
      </c>
      <c r="K5" s="67" t="s">
        <v>133</v>
      </c>
      <c r="L5" s="68" t="s">
        <v>134</v>
      </c>
      <c r="N5" s="64" t="s">
        <v>131</v>
      </c>
      <c r="O5" s="65" t="s">
        <v>40</v>
      </c>
      <c r="P5" s="66" t="s">
        <v>132</v>
      </c>
      <c r="Q5" s="67" t="s">
        <v>133</v>
      </c>
      <c r="R5" s="68" t="s">
        <v>134</v>
      </c>
      <c r="T5" s="69" t="s">
        <v>135</v>
      </c>
      <c r="U5" s="69" t="s">
        <v>136</v>
      </c>
      <c r="V5" s="69" t="s">
        <v>137</v>
      </c>
    </row>
    <row r="6" spans="1:22" x14ac:dyDescent="0.35">
      <c r="B6" s="70">
        <v>8</v>
      </c>
      <c r="C6" s="112">
        <v>0.85</v>
      </c>
      <c r="D6" s="71">
        <f>(C6/B6)</f>
        <v>0.10625</v>
      </c>
      <c r="E6" s="113">
        <f>(D6*60)</f>
        <v>6.375</v>
      </c>
      <c r="F6" s="72">
        <f>(E6/1440)</f>
        <v>4.4270833333333332E-3</v>
      </c>
      <c r="H6" s="70">
        <v>8</v>
      </c>
      <c r="I6" s="112">
        <v>2.15</v>
      </c>
      <c r="J6" s="71">
        <f>(I6/H6)</f>
        <v>0.26874999999999999</v>
      </c>
      <c r="K6" s="113">
        <f>(J6*60)</f>
        <v>16.125</v>
      </c>
      <c r="L6" s="72">
        <f>(K6/1440)</f>
        <v>1.1197916666666667E-2</v>
      </c>
      <c r="N6" s="70">
        <v>4</v>
      </c>
      <c r="O6" s="112">
        <v>5</v>
      </c>
      <c r="P6" s="71">
        <f t="shared" ref="P6:P18" si="0">(O6/N6)</f>
        <v>1.25</v>
      </c>
      <c r="Q6" s="113">
        <f t="shared" ref="Q6:Q18" si="1">(P6*60)</f>
        <v>75</v>
      </c>
      <c r="R6" s="72">
        <f t="shared" ref="R6:R18" si="2">(Q6/1440)</f>
        <v>5.2083333333333336E-2</v>
      </c>
      <c r="T6" s="69">
        <v>21</v>
      </c>
      <c r="U6" s="69">
        <f>(T6+V6)</f>
        <v>9</v>
      </c>
      <c r="V6" s="69">
        <v>-12</v>
      </c>
    </row>
    <row r="7" spans="1:22" x14ac:dyDescent="0.35">
      <c r="B7" s="73">
        <v>10</v>
      </c>
      <c r="C7" s="74">
        <f>(C6)</f>
        <v>0.85</v>
      </c>
      <c r="D7" s="75">
        <f t="shared" ref="D7:D50" si="3">(C7/B7)</f>
        <v>8.4999999999999992E-2</v>
      </c>
      <c r="E7" s="114">
        <f t="shared" ref="E7:E50" si="4">(D7*60)</f>
        <v>5.0999999999999996</v>
      </c>
      <c r="F7" s="76">
        <f t="shared" ref="F7:F50" si="5">(E7/1440)</f>
        <v>3.5416666666666665E-3</v>
      </c>
      <c r="H7" s="73">
        <v>10</v>
      </c>
      <c r="I7" s="74">
        <f>(I6)</f>
        <v>2.15</v>
      </c>
      <c r="J7" s="75">
        <f t="shared" ref="J7:J50" si="6">(I7/H7)</f>
        <v>0.215</v>
      </c>
      <c r="K7" s="114">
        <f t="shared" ref="K7:K50" si="7">(J7*60)</f>
        <v>12.9</v>
      </c>
      <c r="L7" s="76">
        <f t="shared" ref="L7:L50" si="8">(K7/1440)</f>
        <v>8.9583333333333338E-3</v>
      </c>
      <c r="N7" s="73">
        <v>6</v>
      </c>
      <c r="O7" s="74">
        <f>(O6)</f>
        <v>5</v>
      </c>
      <c r="P7" s="75">
        <f t="shared" si="0"/>
        <v>0.83333333333333337</v>
      </c>
      <c r="Q7" s="114">
        <f t="shared" si="1"/>
        <v>50</v>
      </c>
      <c r="R7" s="76">
        <f t="shared" si="2"/>
        <v>3.4722222222222224E-2</v>
      </c>
      <c r="T7" s="69">
        <f>T6+90</f>
        <v>111</v>
      </c>
      <c r="U7" s="69">
        <f t="shared" ref="U7:U9" si="9">(T7+V7)</f>
        <v>99</v>
      </c>
      <c r="V7" s="69">
        <v>-12</v>
      </c>
    </row>
    <row r="8" spans="1:22" x14ac:dyDescent="0.35">
      <c r="B8" s="73">
        <v>12</v>
      </c>
      <c r="C8" s="74">
        <f t="shared" ref="C8" si="10">(C7)</f>
        <v>0.85</v>
      </c>
      <c r="D8" s="75">
        <f t="shared" si="3"/>
        <v>7.0833333333333331E-2</v>
      </c>
      <c r="E8" s="114">
        <f t="shared" si="4"/>
        <v>4.25</v>
      </c>
      <c r="F8" s="76">
        <f t="shared" si="5"/>
        <v>2.9513888888888888E-3</v>
      </c>
      <c r="H8" s="73">
        <v>12</v>
      </c>
      <c r="I8" s="74">
        <f t="shared" ref="I8" si="11">(I7)</f>
        <v>2.15</v>
      </c>
      <c r="J8" s="75">
        <f t="shared" si="6"/>
        <v>0.17916666666666667</v>
      </c>
      <c r="K8" s="114">
        <f t="shared" si="7"/>
        <v>10.75</v>
      </c>
      <c r="L8" s="76">
        <f t="shared" si="8"/>
        <v>7.4652777777777781E-3</v>
      </c>
      <c r="N8" s="73">
        <v>8</v>
      </c>
      <c r="O8" s="74">
        <f t="shared" ref="O8:O17" si="12">(O7)</f>
        <v>5</v>
      </c>
      <c r="P8" s="75">
        <f t="shared" ref="P8:P17" si="13">(O8/N8)</f>
        <v>0.625</v>
      </c>
      <c r="Q8" s="114">
        <f t="shared" ref="Q8:Q17" si="14">(P8*60)</f>
        <v>37.5</v>
      </c>
      <c r="R8" s="76">
        <f t="shared" ref="R8:R17" si="15">(Q8/1440)</f>
        <v>2.6041666666666668E-2</v>
      </c>
      <c r="T8" s="69">
        <f t="shared" ref="T8:T9" si="16">T7+90</f>
        <v>201</v>
      </c>
      <c r="U8" s="69">
        <f t="shared" si="9"/>
        <v>189</v>
      </c>
      <c r="V8" s="69">
        <v>-12</v>
      </c>
    </row>
    <row r="9" spans="1:22" x14ac:dyDescent="0.35">
      <c r="B9" s="73">
        <v>15</v>
      </c>
      <c r="C9" s="74">
        <f>(C7)</f>
        <v>0.85</v>
      </c>
      <c r="D9" s="75">
        <f t="shared" si="3"/>
        <v>5.6666666666666664E-2</v>
      </c>
      <c r="E9" s="114">
        <f t="shared" si="4"/>
        <v>3.4</v>
      </c>
      <c r="F9" s="76">
        <f t="shared" si="5"/>
        <v>2.3611111111111111E-3</v>
      </c>
      <c r="H9" s="73">
        <v>15</v>
      </c>
      <c r="I9" s="74">
        <f>(I7)</f>
        <v>2.15</v>
      </c>
      <c r="J9" s="75">
        <f t="shared" si="6"/>
        <v>0.14333333333333334</v>
      </c>
      <c r="K9" s="114">
        <f t="shared" si="7"/>
        <v>8.6</v>
      </c>
      <c r="L9" s="76">
        <f t="shared" si="8"/>
        <v>5.9722222222222216E-3</v>
      </c>
      <c r="N9" s="73">
        <v>10</v>
      </c>
      <c r="O9" s="74">
        <f t="shared" si="12"/>
        <v>5</v>
      </c>
      <c r="P9" s="75">
        <f t="shared" si="13"/>
        <v>0.5</v>
      </c>
      <c r="Q9" s="114">
        <f t="shared" si="14"/>
        <v>30</v>
      </c>
      <c r="R9" s="76">
        <f t="shared" si="15"/>
        <v>2.0833333333333332E-2</v>
      </c>
      <c r="T9" s="69">
        <f t="shared" si="16"/>
        <v>291</v>
      </c>
      <c r="U9" s="69">
        <f t="shared" si="9"/>
        <v>279</v>
      </c>
      <c r="V9" s="69">
        <v>-12</v>
      </c>
    </row>
    <row r="10" spans="1:22" x14ac:dyDescent="0.35">
      <c r="B10" s="111">
        <v>18</v>
      </c>
      <c r="C10" s="74">
        <f t="shared" ref="C10:C13" si="17">(C8)</f>
        <v>0.85</v>
      </c>
      <c r="D10" s="75">
        <f t="shared" ref="D10:D13" si="18">(C10/B10)</f>
        <v>4.7222222222222221E-2</v>
      </c>
      <c r="E10" s="114">
        <f t="shared" ref="E10:E13" si="19">(D10*60)</f>
        <v>2.833333333333333</v>
      </c>
      <c r="F10" s="76">
        <f t="shared" ref="F10:F13" si="20">(E10/1440)</f>
        <v>1.9675925925925924E-3</v>
      </c>
      <c r="H10" s="111">
        <v>18</v>
      </c>
      <c r="I10" s="74">
        <f t="shared" ref="I10:I13" si="21">(I8)</f>
        <v>2.15</v>
      </c>
      <c r="J10" s="75">
        <f t="shared" ref="J10:J13" si="22">(I10/H10)</f>
        <v>0.11944444444444444</v>
      </c>
      <c r="K10" s="114">
        <f t="shared" ref="K10:K13" si="23">(J10*60)</f>
        <v>7.1666666666666661</v>
      </c>
      <c r="L10" s="76">
        <f t="shared" ref="L10:L13" si="24">(K10/1440)</f>
        <v>4.9768518518518512E-3</v>
      </c>
      <c r="N10" s="73">
        <v>12</v>
      </c>
      <c r="O10" s="74">
        <f t="shared" si="12"/>
        <v>5</v>
      </c>
      <c r="P10" s="75">
        <f t="shared" si="13"/>
        <v>0.41666666666666669</v>
      </c>
      <c r="Q10" s="114">
        <f t="shared" si="14"/>
        <v>25</v>
      </c>
      <c r="R10" s="76">
        <f t="shared" si="15"/>
        <v>1.7361111111111112E-2</v>
      </c>
    </row>
    <row r="11" spans="1:22" x14ac:dyDescent="0.35">
      <c r="B11" s="111">
        <v>20</v>
      </c>
      <c r="C11" s="74">
        <f t="shared" si="17"/>
        <v>0.85</v>
      </c>
      <c r="D11" s="75">
        <f t="shared" si="18"/>
        <v>4.2499999999999996E-2</v>
      </c>
      <c r="E11" s="114">
        <f t="shared" si="19"/>
        <v>2.5499999999999998</v>
      </c>
      <c r="F11" s="76">
        <f t="shared" si="20"/>
        <v>1.7708333333333332E-3</v>
      </c>
      <c r="H11" s="111">
        <v>20</v>
      </c>
      <c r="I11" s="74">
        <f t="shared" si="21"/>
        <v>2.15</v>
      </c>
      <c r="J11" s="75">
        <f t="shared" si="22"/>
        <v>0.1075</v>
      </c>
      <c r="K11" s="114">
        <f t="shared" si="23"/>
        <v>6.45</v>
      </c>
      <c r="L11" s="76">
        <f t="shared" si="24"/>
        <v>4.4791666666666669E-3</v>
      </c>
      <c r="N11" s="73">
        <v>15</v>
      </c>
      <c r="O11" s="74">
        <f t="shared" si="12"/>
        <v>5</v>
      </c>
      <c r="P11" s="75">
        <f t="shared" si="13"/>
        <v>0.33333333333333331</v>
      </c>
      <c r="Q11" s="114">
        <f t="shared" si="14"/>
        <v>20</v>
      </c>
      <c r="R11" s="76">
        <f t="shared" si="15"/>
        <v>1.3888888888888888E-2</v>
      </c>
    </row>
    <row r="12" spans="1:22" x14ac:dyDescent="0.35">
      <c r="B12" s="111">
        <v>22</v>
      </c>
      <c r="C12" s="74">
        <f t="shared" si="17"/>
        <v>0.85</v>
      </c>
      <c r="D12" s="75">
        <f t="shared" si="18"/>
        <v>3.8636363636363635E-2</v>
      </c>
      <c r="E12" s="114">
        <f t="shared" si="19"/>
        <v>2.3181818181818183</v>
      </c>
      <c r="F12" s="76">
        <f t="shared" si="20"/>
        <v>1.609848484848485E-3</v>
      </c>
      <c r="H12" s="111">
        <v>22</v>
      </c>
      <c r="I12" s="74">
        <f t="shared" si="21"/>
        <v>2.15</v>
      </c>
      <c r="J12" s="75">
        <f t="shared" si="22"/>
        <v>9.7727272727272718E-2</v>
      </c>
      <c r="K12" s="114">
        <f t="shared" si="23"/>
        <v>5.8636363636363633</v>
      </c>
      <c r="L12" s="76">
        <f t="shared" si="24"/>
        <v>4.0719696969696972E-3</v>
      </c>
      <c r="N12" s="73">
        <v>18</v>
      </c>
      <c r="O12" s="74">
        <f t="shared" si="12"/>
        <v>5</v>
      </c>
      <c r="P12" s="75">
        <f t="shared" si="13"/>
        <v>0.27777777777777779</v>
      </c>
      <c r="Q12" s="114">
        <f t="shared" si="14"/>
        <v>16.666666666666668</v>
      </c>
      <c r="R12" s="76">
        <f t="shared" si="15"/>
        <v>1.1574074074074075E-2</v>
      </c>
    </row>
    <row r="13" spans="1:22" x14ac:dyDescent="0.35">
      <c r="B13" s="111">
        <v>25</v>
      </c>
      <c r="C13" s="74">
        <f t="shared" si="17"/>
        <v>0.85</v>
      </c>
      <c r="D13" s="75">
        <f t="shared" si="18"/>
        <v>3.4000000000000002E-2</v>
      </c>
      <c r="E13" s="114">
        <f t="shared" si="19"/>
        <v>2.04</v>
      </c>
      <c r="F13" s="76">
        <f t="shared" si="20"/>
        <v>1.4166666666666668E-3</v>
      </c>
      <c r="H13" s="111">
        <v>25</v>
      </c>
      <c r="I13" s="74">
        <f t="shared" si="21"/>
        <v>2.15</v>
      </c>
      <c r="J13" s="75">
        <f t="shared" si="22"/>
        <v>8.5999999999999993E-2</v>
      </c>
      <c r="K13" s="114">
        <f t="shared" si="23"/>
        <v>5.1599999999999993</v>
      </c>
      <c r="L13" s="76">
        <f t="shared" si="24"/>
        <v>3.5833333333333329E-3</v>
      </c>
      <c r="N13" s="73">
        <v>20</v>
      </c>
      <c r="O13" s="74">
        <f t="shared" si="12"/>
        <v>5</v>
      </c>
      <c r="P13" s="75">
        <f t="shared" si="13"/>
        <v>0.25</v>
      </c>
      <c r="Q13" s="114">
        <f t="shared" si="14"/>
        <v>15</v>
      </c>
      <c r="R13" s="76">
        <f t="shared" si="15"/>
        <v>1.0416666666666666E-2</v>
      </c>
    </row>
    <row r="14" spans="1:22" ht="15" thickBot="1" x14ac:dyDescent="0.4">
      <c r="B14" s="64">
        <v>30</v>
      </c>
      <c r="C14" s="65">
        <f>(C8)</f>
        <v>0.85</v>
      </c>
      <c r="D14" s="66">
        <f t="shared" si="3"/>
        <v>2.8333333333333332E-2</v>
      </c>
      <c r="E14" s="427">
        <f t="shared" si="4"/>
        <v>1.7</v>
      </c>
      <c r="F14" s="77">
        <f t="shared" si="5"/>
        <v>1.1805555555555556E-3</v>
      </c>
      <c r="H14" s="64">
        <v>30</v>
      </c>
      <c r="I14" s="65">
        <f>(I8)</f>
        <v>2.15</v>
      </c>
      <c r="J14" s="66">
        <f t="shared" si="6"/>
        <v>7.166666666666667E-2</v>
      </c>
      <c r="K14" s="427">
        <f t="shared" si="7"/>
        <v>4.3</v>
      </c>
      <c r="L14" s="77">
        <f t="shared" si="8"/>
        <v>2.9861111111111108E-3</v>
      </c>
      <c r="N14" s="73">
        <v>22</v>
      </c>
      <c r="O14" s="74">
        <f t="shared" si="12"/>
        <v>5</v>
      </c>
      <c r="P14" s="75">
        <f t="shared" si="13"/>
        <v>0.22727272727272727</v>
      </c>
      <c r="Q14" s="114">
        <f t="shared" si="14"/>
        <v>13.636363636363637</v>
      </c>
      <c r="R14" s="76">
        <f t="shared" si="15"/>
        <v>9.46969696969697E-3</v>
      </c>
    </row>
    <row r="15" spans="1:22" x14ac:dyDescent="0.35">
      <c r="B15" s="70">
        <v>8</v>
      </c>
      <c r="C15" s="112">
        <v>1.2749999999999999</v>
      </c>
      <c r="D15" s="71">
        <f t="shared" si="3"/>
        <v>0.15937499999999999</v>
      </c>
      <c r="E15" s="113">
        <f t="shared" si="4"/>
        <v>9.5625</v>
      </c>
      <c r="F15" s="72">
        <f t="shared" si="5"/>
        <v>6.6406249999999998E-3</v>
      </c>
      <c r="H15" s="70">
        <v>8</v>
      </c>
      <c r="I15" s="112">
        <v>0.1</v>
      </c>
      <c r="J15" s="71">
        <f t="shared" si="6"/>
        <v>1.2500000000000001E-2</v>
      </c>
      <c r="K15" s="113">
        <f t="shared" si="7"/>
        <v>0.75</v>
      </c>
      <c r="L15" s="72">
        <f t="shared" si="8"/>
        <v>5.2083333333333333E-4</v>
      </c>
      <c r="N15" s="73">
        <v>25</v>
      </c>
      <c r="O15" s="74">
        <f t="shared" si="12"/>
        <v>5</v>
      </c>
      <c r="P15" s="75">
        <f t="shared" si="13"/>
        <v>0.2</v>
      </c>
      <c r="Q15" s="114">
        <f t="shared" si="14"/>
        <v>12</v>
      </c>
      <c r="R15" s="76">
        <f t="shared" si="15"/>
        <v>8.3333333333333332E-3</v>
      </c>
    </row>
    <row r="16" spans="1:22" x14ac:dyDescent="0.35">
      <c r="B16" s="73">
        <v>10</v>
      </c>
      <c r="C16" s="74">
        <f>(C15)</f>
        <v>1.2749999999999999</v>
      </c>
      <c r="D16" s="75">
        <f t="shared" si="3"/>
        <v>0.1275</v>
      </c>
      <c r="E16" s="114">
        <f t="shared" si="4"/>
        <v>7.65</v>
      </c>
      <c r="F16" s="76">
        <f t="shared" si="5"/>
        <v>5.3125000000000004E-3</v>
      </c>
      <c r="H16" s="73">
        <v>10</v>
      </c>
      <c r="I16" s="74">
        <f>(I15)</f>
        <v>0.1</v>
      </c>
      <c r="J16" s="75">
        <f t="shared" si="6"/>
        <v>0.01</v>
      </c>
      <c r="K16" s="114">
        <f t="shared" si="7"/>
        <v>0.6</v>
      </c>
      <c r="L16" s="76">
        <f t="shared" si="8"/>
        <v>4.1666666666666664E-4</v>
      </c>
      <c r="N16" s="73">
        <v>28</v>
      </c>
      <c r="O16" s="74">
        <f t="shared" si="12"/>
        <v>5</v>
      </c>
      <c r="P16" s="75">
        <f t="shared" si="13"/>
        <v>0.17857142857142858</v>
      </c>
      <c r="Q16" s="114">
        <f t="shared" si="14"/>
        <v>10.714285714285715</v>
      </c>
      <c r="R16" s="76">
        <f t="shared" si="15"/>
        <v>7.4404761904761909E-3</v>
      </c>
    </row>
    <row r="17" spans="2:18" x14ac:dyDescent="0.35">
      <c r="B17" s="73">
        <v>12</v>
      </c>
      <c r="C17" s="74">
        <f t="shared" ref="C17" si="25">(C16)</f>
        <v>1.2749999999999999</v>
      </c>
      <c r="D17" s="75">
        <f t="shared" si="3"/>
        <v>0.10625</v>
      </c>
      <c r="E17" s="114">
        <f t="shared" si="4"/>
        <v>6.375</v>
      </c>
      <c r="F17" s="76">
        <f t="shared" si="5"/>
        <v>4.4270833333333332E-3</v>
      </c>
      <c r="H17" s="73">
        <v>12</v>
      </c>
      <c r="I17" s="74">
        <f t="shared" ref="I17" si="26">(I16)</f>
        <v>0.1</v>
      </c>
      <c r="J17" s="75">
        <f t="shared" si="6"/>
        <v>8.3333333333333332E-3</v>
      </c>
      <c r="K17" s="114">
        <f t="shared" si="7"/>
        <v>0.5</v>
      </c>
      <c r="L17" s="76">
        <f t="shared" si="8"/>
        <v>3.4722222222222224E-4</v>
      </c>
      <c r="N17" s="73">
        <v>30</v>
      </c>
      <c r="O17" s="74">
        <f t="shared" si="12"/>
        <v>5</v>
      </c>
      <c r="P17" s="75">
        <f t="shared" si="13"/>
        <v>0.16666666666666666</v>
      </c>
      <c r="Q17" s="114">
        <f t="shared" si="14"/>
        <v>10</v>
      </c>
      <c r="R17" s="76">
        <f t="shared" si="15"/>
        <v>6.9444444444444441E-3</v>
      </c>
    </row>
    <row r="18" spans="2:18" ht="15" thickBot="1" x14ac:dyDescent="0.4">
      <c r="B18" s="73">
        <v>15</v>
      </c>
      <c r="C18" s="74">
        <f>(C16)</f>
        <v>1.2749999999999999</v>
      </c>
      <c r="D18" s="75">
        <f t="shared" si="3"/>
        <v>8.4999999999999992E-2</v>
      </c>
      <c r="E18" s="114">
        <f t="shared" si="4"/>
        <v>5.0999999999999996</v>
      </c>
      <c r="F18" s="76">
        <f t="shared" si="5"/>
        <v>3.5416666666666665E-3</v>
      </c>
      <c r="H18" s="73">
        <v>15</v>
      </c>
      <c r="I18" s="74">
        <f>(I16)</f>
        <v>0.1</v>
      </c>
      <c r="J18" s="75">
        <f t="shared" si="6"/>
        <v>6.6666666666666671E-3</v>
      </c>
      <c r="K18" s="114">
        <f t="shared" si="7"/>
        <v>0.4</v>
      </c>
      <c r="L18" s="76">
        <f t="shared" si="8"/>
        <v>2.7777777777777778E-4</v>
      </c>
      <c r="N18" s="64">
        <v>35</v>
      </c>
      <c r="O18" s="65">
        <f t="shared" ref="O18" si="27">(O17)</f>
        <v>5</v>
      </c>
      <c r="P18" s="66">
        <f t="shared" si="0"/>
        <v>0.14285714285714285</v>
      </c>
      <c r="Q18" s="427">
        <f t="shared" si="1"/>
        <v>8.5714285714285712</v>
      </c>
      <c r="R18" s="77">
        <f t="shared" si="2"/>
        <v>5.9523809523809521E-3</v>
      </c>
    </row>
    <row r="19" spans="2:18" x14ac:dyDescent="0.35">
      <c r="B19" s="111">
        <v>18</v>
      </c>
      <c r="C19" s="74">
        <f t="shared" ref="C19:C22" si="28">(C17)</f>
        <v>1.2749999999999999</v>
      </c>
      <c r="D19" s="75">
        <f t="shared" ref="D19:D22" si="29">(C19/B19)</f>
        <v>7.0833333333333331E-2</v>
      </c>
      <c r="E19" s="114">
        <f t="shared" ref="E19:E22" si="30">(D19*60)</f>
        <v>4.25</v>
      </c>
      <c r="F19" s="76">
        <f t="shared" ref="F19:F22" si="31">(E19/1440)</f>
        <v>2.9513888888888888E-3</v>
      </c>
      <c r="H19" s="111">
        <v>18</v>
      </c>
      <c r="I19" s="74">
        <f t="shared" ref="I19:I22" si="32">(I17)</f>
        <v>0.1</v>
      </c>
      <c r="J19" s="75">
        <f t="shared" ref="J19:J22" si="33">(I19/H19)</f>
        <v>5.5555555555555558E-3</v>
      </c>
      <c r="K19" s="114">
        <f t="shared" ref="K19:K22" si="34">(J19*60)</f>
        <v>0.33333333333333337</v>
      </c>
      <c r="L19" s="76">
        <f t="shared" ref="L19:L22" si="35">(K19/1440)</f>
        <v>2.3148148148148152E-4</v>
      </c>
      <c r="N19" s="63"/>
      <c r="O19" s="63"/>
      <c r="P19" s="63"/>
      <c r="Q19" s="63"/>
      <c r="R19" s="63"/>
    </row>
    <row r="20" spans="2:18" ht="15" thickBot="1" x14ac:dyDescent="0.4">
      <c r="B20" s="111">
        <v>20</v>
      </c>
      <c r="C20" s="74">
        <f t="shared" si="28"/>
        <v>1.2749999999999999</v>
      </c>
      <c r="D20" s="75">
        <f t="shared" si="29"/>
        <v>6.3750000000000001E-2</v>
      </c>
      <c r="E20" s="114">
        <f t="shared" si="30"/>
        <v>3.8250000000000002</v>
      </c>
      <c r="F20" s="76">
        <f t="shared" si="31"/>
        <v>2.6562500000000002E-3</v>
      </c>
      <c r="H20" s="111">
        <v>20</v>
      </c>
      <c r="I20" s="74">
        <f t="shared" si="32"/>
        <v>0.1</v>
      </c>
      <c r="J20" s="75">
        <f t="shared" si="33"/>
        <v>5.0000000000000001E-3</v>
      </c>
      <c r="K20" s="114">
        <f t="shared" si="34"/>
        <v>0.3</v>
      </c>
      <c r="L20" s="76">
        <f t="shared" si="35"/>
        <v>2.0833333333333332E-4</v>
      </c>
      <c r="N20" s="453" t="s">
        <v>130</v>
      </c>
      <c r="O20" s="453"/>
      <c r="P20" s="453"/>
      <c r="Q20" s="453"/>
      <c r="R20" s="453"/>
    </row>
    <row r="21" spans="2:18" x14ac:dyDescent="0.35">
      <c r="B21" s="111">
        <v>22</v>
      </c>
      <c r="C21" s="74">
        <f t="shared" si="28"/>
        <v>1.2749999999999999</v>
      </c>
      <c r="D21" s="75">
        <f t="shared" si="29"/>
        <v>5.7954545454545453E-2</v>
      </c>
      <c r="E21" s="114">
        <f t="shared" si="30"/>
        <v>3.4772727272727271</v>
      </c>
      <c r="F21" s="76">
        <f t="shared" si="31"/>
        <v>2.4147727272727272E-3</v>
      </c>
      <c r="H21" s="111">
        <v>22</v>
      </c>
      <c r="I21" s="74">
        <f t="shared" si="32"/>
        <v>0.1</v>
      </c>
      <c r="J21" s="75">
        <f t="shared" si="33"/>
        <v>4.5454545454545461E-3</v>
      </c>
      <c r="K21" s="114">
        <f t="shared" si="34"/>
        <v>0.27272727272727276</v>
      </c>
      <c r="L21" s="76">
        <f t="shared" si="35"/>
        <v>1.8939393939393942E-4</v>
      </c>
      <c r="N21" s="425"/>
      <c r="O21" s="426"/>
      <c r="P21" s="454" t="s">
        <v>25</v>
      </c>
      <c r="Q21" s="454"/>
      <c r="R21" s="455"/>
    </row>
    <row r="22" spans="2:18" ht="15" thickBot="1" x14ac:dyDescent="0.4">
      <c r="B22" s="111">
        <v>25</v>
      </c>
      <c r="C22" s="74">
        <f t="shared" si="28"/>
        <v>1.2749999999999999</v>
      </c>
      <c r="D22" s="75">
        <f t="shared" si="29"/>
        <v>5.0999999999999997E-2</v>
      </c>
      <c r="E22" s="114">
        <f t="shared" si="30"/>
        <v>3.0599999999999996</v>
      </c>
      <c r="F22" s="76">
        <f t="shared" si="31"/>
        <v>2.1249999999999997E-3</v>
      </c>
      <c r="H22" s="111">
        <v>25</v>
      </c>
      <c r="I22" s="74">
        <f t="shared" si="32"/>
        <v>0.1</v>
      </c>
      <c r="J22" s="75">
        <f t="shared" si="33"/>
        <v>4.0000000000000001E-3</v>
      </c>
      <c r="K22" s="114">
        <f t="shared" si="34"/>
        <v>0.24</v>
      </c>
      <c r="L22" s="76">
        <f t="shared" si="35"/>
        <v>1.6666666666666666E-4</v>
      </c>
      <c r="N22" s="64" t="s">
        <v>131</v>
      </c>
      <c r="O22" s="65" t="s">
        <v>40</v>
      </c>
      <c r="P22" s="66" t="s">
        <v>132</v>
      </c>
      <c r="Q22" s="67" t="s">
        <v>133</v>
      </c>
      <c r="R22" s="68" t="s">
        <v>134</v>
      </c>
    </row>
    <row r="23" spans="2:18" ht="15" thickBot="1" x14ac:dyDescent="0.4">
      <c r="B23" s="64">
        <v>30</v>
      </c>
      <c r="C23" s="65">
        <f>(C17)</f>
        <v>1.2749999999999999</v>
      </c>
      <c r="D23" s="66">
        <f t="shared" si="3"/>
        <v>4.2499999999999996E-2</v>
      </c>
      <c r="E23" s="427">
        <f t="shared" si="4"/>
        <v>2.5499999999999998</v>
      </c>
      <c r="F23" s="77">
        <f t="shared" si="5"/>
        <v>1.7708333333333332E-3</v>
      </c>
      <c r="H23" s="64">
        <v>30</v>
      </c>
      <c r="I23" s="65">
        <f>(I17)</f>
        <v>0.1</v>
      </c>
      <c r="J23" s="66">
        <f t="shared" si="6"/>
        <v>3.3333333333333335E-3</v>
      </c>
      <c r="K23" s="427">
        <f t="shared" si="7"/>
        <v>0.2</v>
      </c>
      <c r="L23" s="77">
        <f t="shared" si="8"/>
        <v>1.3888888888888889E-4</v>
      </c>
      <c r="N23" s="70">
        <v>4</v>
      </c>
      <c r="O23" s="112">
        <v>1.2</v>
      </c>
      <c r="P23" s="71">
        <f t="shared" ref="P23:P35" si="36">(O23/N23)</f>
        <v>0.3</v>
      </c>
      <c r="Q23" s="113">
        <f t="shared" ref="Q23:Q35" si="37">(P23*60)</f>
        <v>18</v>
      </c>
      <c r="R23" s="72">
        <f t="shared" ref="R23:R35" si="38">(Q23/1440)</f>
        <v>1.2500000000000001E-2</v>
      </c>
    </row>
    <row r="24" spans="2:18" x14ac:dyDescent="0.35">
      <c r="B24" s="70">
        <v>8</v>
      </c>
      <c r="C24" s="112">
        <v>1.1000000000000001</v>
      </c>
      <c r="D24" s="71">
        <f t="shared" si="3"/>
        <v>0.13750000000000001</v>
      </c>
      <c r="E24" s="113">
        <f t="shared" si="4"/>
        <v>8.25</v>
      </c>
      <c r="F24" s="72">
        <f t="shared" si="5"/>
        <v>5.7291666666666663E-3</v>
      </c>
      <c r="H24" s="70">
        <v>8</v>
      </c>
      <c r="I24" s="112">
        <v>0.75</v>
      </c>
      <c r="J24" s="71">
        <f t="shared" si="6"/>
        <v>9.375E-2</v>
      </c>
      <c r="K24" s="113">
        <f t="shared" si="7"/>
        <v>5.625</v>
      </c>
      <c r="L24" s="72">
        <f t="shared" si="8"/>
        <v>3.90625E-3</v>
      </c>
      <c r="N24" s="73">
        <v>6</v>
      </c>
      <c r="O24" s="74">
        <f>(O23)</f>
        <v>1.2</v>
      </c>
      <c r="P24" s="75">
        <f t="shared" si="36"/>
        <v>0.19999999999999998</v>
      </c>
      <c r="Q24" s="114">
        <f t="shared" si="37"/>
        <v>11.999999999999998</v>
      </c>
      <c r="R24" s="76">
        <f t="shared" si="38"/>
        <v>8.3333333333333315E-3</v>
      </c>
    </row>
    <row r="25" spans="2:18" x14ac:dyDescent="0.35">
      <c r="B25" s="73">
        <v>10</v>
      </c>
      <c r="C25" s="74">
        <f>(C24)</f>
        <v>1.1000000000000001</v>
      </c>
      <c r="D25" s="75">
        <f t="shared" si="3"/>
        <v>0.11000000000000001</v>
      </c>
      <c r="E25" s="114">
        <f t="shared" si="4"/>
        <v>6.6000000000000005</v>
      </c>
      <c r="F25" s="76">
        <f t="shared" si="5"/>
        <v>4.5833333333333334E-3</v>
      </c>
      <c r="H25" s="73">
        <v>10</v>
      </c>
      <c r="I25" s="74">
        <f>(I24)</f>
        <v>0.75</v>
      </c>
      <c r="J25" s="75">
        <f t="shared" si="6"/>
        <v>7.4999999999999997E-2</v>
      </c>
      <c r="K25" s="114">
        <f t="shared" si="7"/>
        <v>4.5</v>
      </c>
      <c r="L25" s="76">
        <f t="shared" si="8"/>
        <v>3.1250000000000002E-3</v>
      </c>
      <c r="N25" s="73">
        <v>8</v>
      </c>
      <c r="O25" s="74">
        <f t="shared" ref="O25:O35" si="39">(O24)</f>
        <v>1.2</v>
      </c>
      <c r="P25" s="75">
        <f t="shared" si="36"/>
        <v>0.15</v>
      </c>
      <c r="Q25" s="114">
        <f t="shared" si="37"/>
        <v>9</v>
      </c>
      <c r="R25" s="76">
        <f t="shared" si="38"/>
        <v>6.2500000000000003E-3</v>
      </c>
    </row>
    <row r="26" spans="2:18" x14ac:dyDescent="0.35">
      <c r="B26" s="73">
        <v>12</v>
      </c>
      <c r="C26" s="74">
        <f t="shared" ref="C26" si="40">(C25)</f>
        <v>1.1000000000000001</v>
      </c>
      <c r="D26" s="75">
        <f t="shared" si="3"/>
        <v>9.1666666666666674E-2</v>
      </c>
      <c r="E26" s="114">
        <f t="shared" si="4"/>
        <v>5.5</v>
      </c>
      <c r="F26" s="76">
        <f t="shared" si="5"/>
        <v>3.8194444444444443E-3</v>
      </c>
      <c r="H26" s="73">
        <v>12</v>
      </c>
      <c r="I26" s="74">
        <f t="shared" ref="I26" si="41">(I25)</f>
        <v>0.75</v>
      </c>
      <c r="J26" s="75">
        <f t="shared" si="6"/>
        <v>6.25E-2</v>
      </c>
      <c r="K26" s="114">
        <f t="shared" si="7"/>
        <v>3.75</v>
      </c>
      <c r="L26" s="76">
        <f t="shared" si="8"/>
        <v>2.6041666666666665E-3</v>
      </c>
      <c r="N26" s="73">
        <v>10</v>
      </c>
      <c r="O26" s="74">
        <f t="shared" si="39"/>
        <v>1.2</v>
      </c>
      <c r="P26" s="75">
        <f t="shared" si="36"/>
        <v>0.12</v>
      </c>
      <c r="Q26" s="114">
        <f t="shared" si="37"/>
        <v>7.1999999999999993</v>
      </c>
      <c r="R26" s="76">
        <f t="shared" si="38"/>
        <v>4.9999999999999992E-3</v>
      </c>
    </row>
    <row r="27" spans="2:18" x14ac:dyDescent="0.35">
      <c r="B27" s="73">
        <v>15</v>
      </c>
      <c r="C27" s="74">
        <f>(C25)</f>
        <v>1.1000000000000001</v>
      </c>
      <c r="D27" s="75">
        <f t="shared" si="3"/>
        <v>7.3333333333333334E-2</v>
      </c>
      <c r="E27" s="114">
        <f t="shared" si="4"/>
        <v>4.4000000000000004</v>
      </c>
      <c r="F27" s="76">
        <f t="shared" si="5"/>
        <v>3.0555555555555557E-3</v>
      </c>
      <c r="H27" s="73">
        <v>15</v>
      </c>
      <c r="I27" s="74">
        <f>(I25)</f>
        <v>0.75</v>
      </c>
      <c r="J27" s="75">
        <f t="shared" si="6"/>
        <v>0.05</v>
      </c>
      <c r="K27" s="114">
        <f t="shared" si="7"/>
        <v>3</v>
      </c>
      <c r="L27" s="76">
        <f t="shared" si="8"/>
        <v>2.0833333333333333E-3</v>
      </c>
      <c r="N27" s="73">
        <v>12</v>
      </c>
      <c r="O27" s="74">
        <f t="shared" si="39"/>
        <v>1.2</v>
      </c>
      <c r="P27" s="75">
        <f t="shared" si="36"/>
        <v>9.9999999999999992E-2</v>
      </c>
      <c r="Q27" s="114">
        <f t="shared" si="37"/>
        <v>5.9999999999999991</v>
      </c>
      <c r="R27" s="76">
        <f t="shared" si="38"/>
        <v>4.1666666666666657E-3</v>
      </c>
    </row>
    <row r="28" spans="2:18" x14ac:dyDescent="0.35">
      <c r="B28" s="111">
        <v>18</v>
      </c>
      <c r="C28" s="74">
        <f t="shared" ref="C28:C31" si="42">(C26)</f>
        <v>1.1000000000000001</v>
      </c>
      <c r="D28" s="75">
        <f t="shared" ref="D28:D31" si="43">(C28/B28)</f>
        <v>6.1111111111111116E-2</v>
      </c>
      <c r="E28" s="114">
        <f t="shared" ref="E28:E31" si="44">(D28*60)</f>
        <v>3.666666666666667</v>
      </c>
      <c r="F28" s="76">
        <f t="shared" ref="F28:F31" si="45">(E28/1440)</f>
        <v>2.5462962962962965E-3</v>
      </c>
      <c r="H28" s="111">
        <v>18</v>
      </c>
      <c r="I28" s="74">
        <f t="shared" ref="I28:I31" si="46">(I26)</f>
        <v>0.75</v>
      </c>
      <c r="J28" s="75">
        <f t="shared" ref="J28:J31" si="47">(I28/H28)</f>
        <v>4.1666666666666664E-2</v>
      </c>
      <c r="K28" s="114">
        <f t="shared" ref="K28:K31" si="48">(J28*60)</f>
        <v>2.5</v>
      </c>
      <c r="L28" s="76">
        <f t="shared" ref="L28:L31" si="49">(K28/1440)</f>
        <v>1.736111111111111E-3</v>
      </c>
      <c r="N28" s="73">
        <v>15</v>
      </c>
      <c r="O28" s="74">
        <f t="shared" si="39"/>
        <v>1.2</v>
      </c>
      <c r="P28" s="75">
        <f t="shared" si="36"/>
        <v>0.08</v>
      </c>
      <c r="Q28" s="114">
        <f t="shared" si="37"/>
        <v>4.8</v>
      </c>
      <c r="R28" s="76">
        <f t="shared" si="38"/>
        <v>3.3333333333333331E-3</v>
      </c>
    </row>
    <row r="29" spans="2:18" x14ac:dyDescent="0.35">
      <c r="B29" s="111">
        <v>20</v>
      </c>
      <c r="C29" s="74">
        <f t="shared" si="42"/>
        <v>1.1000000000000001</v>
      </c>
      <c r="D29" s="75">
        <f t="shared" si="43"/>
        <v>5.5000000000000007E-2</v>
      </c>
      <c r="E29" s="114">
        <f t="shared" si="44"/>
        <v>3.3000000000000003</v>
      </c>
      <c r="F29" s="76">
        <f t="shared" si="45"/>
        <v>2.2916666666666667E-3</v>
      </c>
      <c r="H29" s="111">
        <v>20</v>
      </c>
      <c r="I29" s="74">
        <f t="shared" si="46"/>
        <v>0.75</v>
      </c>
      <c r="J29" s="75">
        <f t="shared" si="47"/>
        <v>3.7499999999999999E-2</v>
      </c>
      <c r="K29" s="114">
        <f t="shared" si="48"/>
        <v>2.25</v>
      </c>
      <c r="L29" s="76">
        <f t="shared" si="49"/>
        <v>1.5625000000000001E-3</v>
      </c>
      <c r="N29" s="73">
        <v>18</v>
      </c>
      <c r="O29" s="74">
        <f t="shared" si="39"/>
        <v>1.2</v>
      </c>
      <c r="P29" s="75">
        <f t="shared" si="36"/>
        <v>6.6666666666666666E-2</v>
      </c>
      <c r="Q29" s="114">
        <f t="shared" si="37"/>
        <v>4</v>
      </c>
      <c r="R29" s="76">
        <f t="shared" si="38"/>
        <v>2.7777777777777779E-3</v>
      </c>
    </row>
    <row r="30" spans="2:18" x14ac:dyDescent="0.35">
      <c r="B30" s="111">
        <v>22</v>
      </c>
      <c r="C30" s="74">
        <f t="shared" si="42"/>
        <v>1.1000000000000001</v>
      </c>
      <c r="D30" s="75">
        <f t="shared" si="43"/>
        <v>0.05</v>
      </c>
      <c r="E30" s="114">
        <f t="shared" si="44"/>
        <v>3</v>
      </c>
      <c r="F30" s="76">
        <f t="shared" si="45"/>
        <v>2.0833333333333333E-3</v>
      </c>
      <c r="H30" s="111">
        <v>22</v>
      </c>
      <c r="I30" s="74">
        <f t="shared" si="46"/>
        <v>0.75</v>
      </c>
      <c r="J30" s="75">
        <f t="shared" si="47"/>
        <v>3.4090909090909088E-2</v>
      </c>
      <c r="K30" s="114">
        <f t="shared" si="48"/>
        <v>2.0454545454545454</v>
      </c>
      <c r="L30" s="76">
        <f t="shared" si="49"/>
        <v>1.4204545454545455E-3</v>
      </c>
      <c r="N30" s="73">
        <v>20</v>
      </c>
      <c r="O30" s="74">
        <f t="shared" si="39"/>
        <v>1.2</v>
      </c>
      <c r="P30" s="75">
        <f t="shared" si="36"/>
        <v>0.06</v>
      </c>
      <c r="Q30" s="114">
        <f t="shared" si="37"/>
        <v>3.5999999999999996</v>
      </c>
      <c r="R30" s="76">
        <f t="shared" si="38"/>
        <v>2.4999999999999996E-3</v>
      </c>
    </row>
    <row r="31" spans="2:18" x14ac:dyDescent="0.35">
      <c r="B31" s="111">
        <v>25</v>
      </c>
      <c r="C31" s="74">
        <f t="shared" si="42"/>
        <v>1.1000000000000001</v>
      </c>
      <c r="D31" s="75">
        <f t="shared" si="43"/>
        <v>4.4000000000000004E-2</v>
      </c>
      <c r="E31" s="114">
        <f t="shared" si="44"/>
        <v>2.64</v>
      </c>
      <c r="F31" s="76">
        <f t="shared" si="45"/>
        <v>1.8333333333333335E-3</v>
      </c>
      <c r="H31" s="111">
        <v>25</v>
      </c>
      <c r="I31" s="74">
        <f t="shared" si="46"/>
        <v>0.75</v>
      </c>
      <c r="J31" s="75">
        <f t="shared" si="47"/>
        <v>0.03</v>
      </c>
      <c r="K31" s="114">
        <f t="shared" si="48"/>
        <v>1.7999999999999998</v>
      </c>
      <c r="L31" s="76">
        <f t="shared" si="49"/>
        <v>1.2499999999999998E-3</v>
      </c>
      <c r="N31" s="73">
        <v>22</v>
      </c>
      <c r="O31" s="74">
        <f t="shared" si="39"/>
        <v>1.2</v>
      </c>
      <c r="P31" s="75">
        <f t="shared" si="36"/>
        <v>5.4545454545454543E-2</v>
      </c>
      <c r="Q31" s="114">
        <f t="shared" si="37"/>
        <v>3.2727272727272725</v>
      </c>
      <c r="R31" s="76">
        <f t="shared" si="38"/>
        <v>2.2727272727272726E-3</v>
      </c>
    </row>
    <row r="32" spans="2:18" ht="15" thickBot="1" x14ac:dyDescent="0.4">
      <c r="B32" s="64">
        <v>30</v>
      </c>
      <c r="C32" s="65">
        <f>(C26)</f>
        <v>1.1000000000000001</v>
      </c>
      <c r="D32" s="66">
        <f t="shared" si="3"/>
        <v>3.6666666666666667E-2</v>
      </c>
      <c r="E32" s="427">
        <f t="shared" si="4"/>
        <v>2.2000000000000002</v>
      </c>
      <c r="F32" s="77">
        <f t="shared" si="5"/>
        <v>1.5277777777777779E-3</v>
      </c>
      <c r="H32" s="64">
        <v>30</v>
      </c>
      <c r="I32" s="65">
        <f>(I26)</f>
        <v>0.75</v>
      </c>
      <c r="J32" s="66">
        <f t="shared" si="6"/>
        <v>2.5000000000000001E-2</v>
      </c>
      <c r="K32" s="427">
        <f t="shared" si="7"/>
        <v>1.5</v>
      </c>
      <c r="L32" s="77">
        <f t="shared" si="8"/>
        <v>1.0416666666666667E-3</v>
      </c>
      <c r="N32" s="73">
        <v>25</v>
      </c>
      <c r="O32" s="74">
        <f t="shared" si="39"/>
        <v>1.2</v>
      </c>
      <c r="P32" s="75">
        <f t="shared" si="36"/>
        <v>4.8000000000000001E-2</v>
      </c>
      <c r="Q32" s="114">
        <f t="shared" si="37"/>
        <v>2.88</v>
      </c>
      <c r="R32" s="76">
        <f t="shared" si="38"/>
        <v>2E-3</v>
      </c>
    </row>
    <row r="33" spans="2:18" x14ac:dyDescent="0.35">
      <c r="B33" s="70">
        <v>8</v>
      </c>
      <c r="C33" s="112">
        <v>0.8</v>
      </c>
      <c r="D33" s="71">
        <f t="shared" si="3"/>
        <v>0.1</v>
      </c>
      <c r="E33" s="113">
        <f t="shared" si="4"/>
        <v>6</v>
      </c>
      <c r="F33" s="72">
        <f t="shared" si="5"/>
        <v>4.1666666666666666E-3</v>
      </c>
      <c r="H33" s="70">
        <v>8</v>
      </c>
      <c r="I33" s="112">
        <v>2.6</v>
      </c>
      <c r="J33" s="71">
        <f t="shared" si="6"/>
        <v>0.32500000000000001</v>
      </c>
      <c r="K33" s="113">
        <f t="shared" si="7"/>
        <v>19.5</v>
      </c>
      <c r="L33" s="72">
        <f t="shared" si="8"/>
        <v>1.3541666666666667E-2</v>
      </c>
      <c r="N33" s="73">
        <v>28</v>
      </c>
      <c r="O33" s="74">
        <f t="shared" si="39"/>
        <v>1.2</v>
      </c>
      <c r="P33" s="75">
        <f t="shared" si="36"/>
        <v>4.2857142857142858E-2</v>
      </c>
      <c r="Q33" s="114">
        <f t="shared" si="37"/>
        <v>2.5714285714285716</v>
      </c>
      <c r="R33" s="76">
        <f t="shared" si="38"/>
        <v>1.7857142857142859E-3</v>
      </c>
    </row>
    <row r="34" spans="2:18" x14ac:dyDescent="0.35">
      <c r="B34" s="73">
        <v>10</v>
      </c>
      <c r="C34" s="74">
        <f>(C33)</f>
        <v>0.8</v>
      </c>
      <c r="D34" s="75">
        <f t="shared" si="3"/>
        <v>0.08</v>
      </c>
      <c r="E34" s="114">
        <f t="shared" si="4"/>
        <v>4.8</v>
      </c>
      <c r="F34" s="76">
        <f t="shared" si="5"/>
        <v>3.3333333333333331E-3</v>
      </c>
      <c r="H34" s="73">
        <v>10</v>
      </c>
      <c r="I34" s="74">
        <f>(I33)</f>
        <v>2.6</v>
      </c>
      <c r="J34" s="75">
        <f t="shared" si="6"/>
        <v>0.26</v>
      </c>
      <c r="K34" s="114">
        <f t="shared" si="7"/>
        <v>15.600000000000001</v>
      </c>
      <c r="L34" s="76">
        <f t="shared" si="8"/>
        <v>1.0833333333333334E-2</v>
      </c>
      <c r="N34" s="73">
        <v>30</v>
      </c>
      <c r="O34" s="74">
        <f t="shared" si="39"/>
        <v>1.2</v>
      </c>
      <c r="P34" s="75">
        <f t="shared" si="36"/>
        <v>0.04</v>
      </c>
      <c r="Q34" s="114">
        <f t="shared" si="37"/>
        <v>2.4</v>
      </c>
      <c r="R34" s="76">
        <f t="shared" si="38"/>
        <v>1.6666666666666666E-3</v>
      </c>
    </row>
    <row r="35" spans="2:18" ht="15" thickBot="1" x14ac:dyDescent="0.4">
      <c r="B35" s="73">
        <v>12</v>
      </c>
      <c r="C35" s="74">
        <f t="shared" ref="C35" si="50">(C34)</f>
        <v>0.8</v>
      </c>
      <c r="D35" s="75">
        <f t="shared" si="3"/>
        <v>6.6666666666666666E-2</v>
      </c>
      <c r="E35" s="114">
        <f t="shared" si="4"/>
        <v>4</v>
      </c>
      <c r="F35" s="76">
        <f t="shared" si="5"/>
        <v>2.7777777777777779E-3</v>
      </c>
      <c r="H35" s="73">
        <v>12</v>
      </c>
      <c r="I35" s="74">
        <f t="shared" ref="I35" si="51">(I34)</f>
        <v>2.6</v>
      </c>
      <c r="J35" s="75">
        <f t="shared" si="6"/>
        <v>0.21666666666666667</v>
      </c>
      <c r="K35" s="114">
        <f t="shared" si="7"/>
        <v>13</v>
      </c>
      <c r="L35" s="76">
        <f t="shared" si="8"/>
        <v>9.0277777777777769E-3</v>
      </c>
      <c r="N35" s="64">
        <v>35</v>
      </c>
      <c r="O35" s="65">
        <f t="shared" si="39"/>
        <v>1.2</v>
      </c>
      <c r="P35" s="66">
        <f t="shared" si="36"/>
        <v>3.4285714285714287E-2</v>
      </c>
      <c r="Q35" s="427">
        <f t="shared" si="37"/>
        <v>2.0571428571428574</v>
      </c>
      <c r="R35" s="77">
        <f t="shared" si="38"/>
        <v>1.4285714285714288E-3</v>
      </c>
    </row>
    <row r="36" spans="2:18" x14ac:dyDescent="0.35">
      <c r="B36" s="73">
        <v>15</v>
      </c>
      <c r="C36" s="74">
        <f>(C34)</f>
        <v>0.8</v>
      </c>
      <c r="D36" s="75">
        <f t="shared" si="3"/>
        <v>5.3333333333333337E-2</v>
      </c>
      <c r="E36" s="114">
        <f t="shared" si="4"/>
        <v>3.2</v>
      </c>
      <c r="F36" s="76">
        <f t="shared" si="5"/>
        <v>2.2222222222222222E-3</v>
      </c>
      <c r="H36" s="73">
        <v>15</v>
      </c>
      <c r="I36" s="74">
        <f>(I34)</f>
        <v>2.6</v>
      </c>
      <c r="J36" s="75">
        <f t="shared" si="6"/>
        <v>0.17333333333333334</v>
      </c>
      <c r="K36" s="114">
        <f t="shared" si="7"/>
        <v>10.4</v>
      </c>
      <c r="L36" s="76">
        <f t="shared" si="8"/>
        <v>7.2222222222222228E-3</v>
      </c>
      <c r="N36" s="63"/>
      <c r="O36" s="63"/>
      <c r="P36" s="63"/>
      <c r="Q36" s="63"/>
      <c r="R36" s="63"/>
    </row>
    <row r="37" spans="2:18" ht="15" thickBot="1" x14ac:dyDescent="0.4">
      <c r="B37" s="111">
        <v>18</v>
      </c>
      <c r="C37" s="74">
        <f t="shared" ref="C37:C40" si="52">(C35)</f>
        <v>0.8</v>
      </c>
      <c r="D37" s="75">
        <f t="shared" ref="D37:D40" si="53">(C37/B37)</f>
        <v>4.4444444444444446E-2</v>
      </c>
      <c r="E37" s="114">
        <f t="shared" ref="E37:E40" si="54">(D37*60)</f>
        <v>2.666666666666667</v>
      </c>
      <c r="F37" s="76">
        <f t="shared" ref="F37:F40" si="55">(E37/1440)</f>
        <v>1.8518518518518521E-3</v>
      </c>
      <c r="H37" s="111">
        <v>18</v>
      </c>
      <c r="I37" s="74">
        <f t="shared" ref="I37:I40" si="56">(I35)</f>
        <v>2.6</v>
      </c>
      <c r="J37" s="75">
        <f t="shared" ref="J37:J40" si="57">(I37/H37)</f>
        <v>0.14444444444444446</v>
      </c>
      <c r="K37" s="114">
        <f t="shared" ref="K37:K40" si="58">(J37*60)</f>
        <v>8.6666666666666679</v>
      </c>
      <c r="L37" s="76">
        <f t="shared" ref="L37:L40" si="59">(K37/1440)</f>
        <v>6.0185185185185194E-3</v>
      </c>
      <c r="N37" s="453" t="s">
        <v>130</v>
      </c>
      <c r="O37" s="453"/>
      <c r="P37" s="453"/>
      <c r="Q37" s="453"/>
      <c r="R37" s="453"/>
    </row>
    <row r="38" spans="2:18" x14ac:dyDescent="0.35">
      <c r="B38" s="111">
        <v>20</v>
      </c>
      <c r="C38" s="74">
        <f t="shared" si="52"/>
        <v>0.8</v>
      </c>
      <c r="D38" s="75">
        <f t="shared" si="53"/>
        <v>0.04</v>
      </c>
      <c r="E38" s="114">
        <f t="shared" si="54"/>
        <v>2.4</v>
      </c>
      <c r="F38" s="76">
        <f t="shared" si="55"/>
        <v>1.6666666666666666E-3</v>
      </c>
      <c r="H38" s="111">
        <v>20</v>
      </c>
      <c r="I38" s="74">
        <f t="shared" si="56"/>
        <v>2.6</v>
      </c>
      <c r="J38" s="75">
        <f t="shared" si="57"/>
        <v>0.13</v>
      </c>
      <c r="K38" s="114">
        <f t="shared" si="58"/>
        <v>7.8000000000000007</v>
      </c>
      <c r="L38" s="76">
        <f t="shared" si="59"/>
        <v>5.4166666666666669E-3</v>
      </c>
      <c r="N38" s="425"/>
      <c r="O38" s="426"/>
      <c r="P38" s="454" t="s">
        <v>25</v>
      </c>
      <c r="Q38" s="454"/>
      <c r="R38" s="455"/>
    </row>
    <row r="39" spans="2:18" ht="15" thickBot="1" x14ac:dyDescent="0.4">
      <c r="B39" s="111">
        <v>22</v>
      </c>
      <c r="C39" s="74">
        <f t="shared" si="52"/>
        <v>0.8</v>
      </c>
      <c r="D39" s="75">
        <f t="shared" si="53"/>
        <v>3.6363636363636369E-2</v>
      </c>
      <c r="E39" s="114">
        <f t="shared" si="54"/>
        <v>2.1818181818181821</v>
      </c>
      <c r="F39" s="76">
        <f t="shared" si="55"/>
        <v>1.5151515151515154E-3</v>
      </c>
      <c r="H39" s="111">
        <v>22</v>
      </c>
      <c r="I39" s="74">
        <f t="shared" si="56"/>
        <v>2.6</v>
      </c>
      <c r="J39" s="75">
        <f t="shared" si="57"/>
        <v>0.11818181818181818</v>
      </c>
      <c r="K39" s="114">
        <f t="shared" si="58"/>
        <v>7.0909090909090908</v>
      </c>
      <c r="L39" s="76">
        <f t="shared" si="59"/>
        <v>4.9242424242424239E-3</v>
      </c>
      <c r="N39" s="64" t="s">
        <v>131</v>
      </c>
      <c r="O39" s="65" t="s">
        <v>40</v>
      </c>
      <c r="P39" s="66" t="s">
        <v>132</v>
      </c>
      <c r="Q39" s="67" t="s">
        <v>133</v>
      </c>
      <c r="R39" s="68" t="s">
        <v>134</v>
      </c>
    </row>
    <row r="40" spans="2:18" x14ac:dyDescent="0.35">
      <c r="B40" s="111">
        <v>25</v>
      </c>
      <c r="C40" s="74">
        <f t="shared" si="52"/>
        <v>0.8</v>
      </c>
      <c r="D40" s="75">
        <f t="shared" si="53"/>
        <v>3.2000000000000001E-2</v>
      </c>
      <c r="E40" s="114">
        <f t="shared" si="54"/>
        <v>1.92</v>
      </c>
      <c r="F40" s="76">
        <f t="shared" si="55"/>
        <v>1.3333333333333333E-3</v>
      </c>
      <c r="H40" s="111">
        <v>25</v>
      </c>
      <c r="I40" s="74">
        <f t="shared" si="56"/>
        <v>2.6</v>
      </c>
      <c r="J40" s="75">
        <f t="shared" si="57"/>
        <v>0.10400000000000001</v>
      </c>
      <c r="K40" s="114">
        <f t="shared" si="58"/>
        <v>6.24</v>
      </c>
      <c r="L40" s="76">
        <f t="shared" si="59"/>
        <v>4.3333333333333331E-3</v>
      </c>
      <c r="N40" s="70">
        <v>4</v>
      </c>
      <c r="O40" s="112">
        <v>10</v>
      </c>
      <c r="P40" s="71">
        <f t="shared" ref="P40:P52" si="60">(O40/N40)</f>
        <v>2.5</v>
      </c>
      <c r="Q40" s="113">
        <f t="shared" ref="Q40:Q52" si="61">(P40*60)</f>
        <v>150</v>
      </c>
      <c r="R40" s="72">
        <f t="shared" ref="R40:R52" si="62">(Q40/1440)</f>
        <v>0.10416666666666667</v>
      </c>
    </row>
    <row r="41" spans="2:18" ht="15" thickBot="1" x14ac:dyDescent="0.4">
      <c r="B41" s="64">
        <v>30</v>
      </c>
      <c r="C41" s="65">
        <f>(C35)</f>
        <v>0.8</v>
      </c>
      <c r="D41" s="66">
        <f t="shared" si="3"/>
        <v>2.6666666666666668E-2</v>
      </c>
      <c r="E41" s="427">
        <f t="shared" si="4"/>
        <v>1.6</v>
      </c>
      <c r="F41" s="77">
        <f t="shared" si="5"/>
        <v>1.1111111111111111E-3</v>
      </c>
      <c r="H41" s="64">
        <v>30</v>
      </c>
      <c r="I41" s="65">
        <f>(I35)</f>
        <v>2.6</v>
      </c>
      <c r="J41" s="66">
        <f t="shared" si="6"/>
        <v>8.666666666666667E-2</v>
      </c>
      <c r="K41" s="427">
        <f t="shared" si="7"/>
        <v>5.2</v>
      </c>
      <c r="L41" s="77">
        <f t="shared" si="8"/>
        <v>3.6111111111111114E-3</v>
      </c>
      <c r="N41" s="73">
        <v>6</v>
      </c>
      <c r="O41" s="74">
        <f>(O40)</f>
        <v>10</v>
      </c>
      <c r="P41" s="75">
        <f t="shared" si="60"/>
        <v>1.6666666666666667</v>
      </c>
      <c r="Q41" s="114">
        <f t="shared" si="61"/>
        <v>100</v>
      </c>
      <c r="R41" s="76">
        <f t="shared" si="62"/>
        <v>6.9444444444444448E-2</v>
      </c>
    </row>
    <row r="42" spans="2:18" x14ac:dyDescent="0.35">
      <c r="B42" s="70">
        <v>8</v>
      </c>
      <c r="C42" s="112">
        <v>3.3</v>
      </c>
      <c r="D42" s="71">
        <f t="shared" si="3"/>
        <v>0.41249999999999998</v>
      </c>
      <c r="E42" s="113">
        <f t="shared" si="4"/>
        <v>24.75</v>
      </c>
      <c r="F42" s="72">
        <f t="shared" si="5"/>
        <v>1.7187500000000001E-2</v>
      </c>
      <c r="H42" s="70">
        <v>8</v>
      </c>
      <c r="I42" s="112">
        <v>3.7</v>
      </c>
      <c r="J42" s="71">
        <f t="shared" si="6"/>
        <v>0.46250000000000002</v>
      </c>
      <c r="K42" s="113">
        <f t="shared" si="7"/>
        <v>27.75</v>
      </c>
      <c r="L42" s="72">
        <f t="shared" si="8"/>
        <v>1.9270833333333334E-2</v>
      </c>
      <c r="N42" s="73">
        <v>8</v>
      </c>
      <c r="O42" s="74">
        <f t="shared" ref="O42:O52" si="63">(O41)</f>
        <v>10</v>
      </c>
      <c r="P42" s="75">
        <f t="shared" si="60"/>
        <v>1.25</v>
      </c>
      <c r="Q42" s="114">
        <f t="shared" si="61"/>
        <v>75</v>
      </c>
      <c r="R42" s="76">
        <f t="shared" si="62"/>
        <v>5.2083333333333336E-2</v>
      </c>
    </row>
    <row r="43" spans="2:18" x14ac:dyDescent="0.35">
      <c r="B43" s="73">
        <v>10</v>
      </c>
      <c r="C43" s="74">
        <f>(C42)</f>
        <v>3.3</v>
      </c>
      <c r="D43" s="75">
        <f t="shared" si="3"/>
        <v>0.32999999999999996</v>
      </c>
      <c r="E43" s="114">
        <f t="shared" si="4"/>
        <v>19.799999999999997</v>
      </c>
      <c r="F43" s="76">
        <f t="shared" si="5"/>
        <v>1.3749999999999998E-2</v>
      </c>
      <c r="H43" s="73">
        <v>10</v>
      </c>
      <c r="I43" s="74">
        <f>(I42)</f>
        <v>3.7</v>
      </c>
      <c r="J43" s="75">
        <f t="shared" si="6"/>
        <v>0.37</v>
      </c>
      <c r="K43" s="114">
        <f t="shared" si="7"/>
        <v>22.2</v>
      </c>
      <c r="L43" s="76">
        <f t="shared" si="8"/>
        <v>1.5416666666666665E-2</v>
      </c>
      <c r="N43" s="73">
        <v>10</v>
      </c>
      <c r="O43" s="74">
        <f t="shared" si="63"/>
        <v>10</v>
      </c>
      <c r="P43" s="75">
        <f t="shared" si="60"/>
        <v>1</v>
      </c>
      <c r="Q43" s="114">
        <f t="shared" si="61"/>
        <v>60</v>
      </c>
      <c r="R43" s="76">
        <f t="shared" si="62"/>
        <v>4.1666666666666664E-2</v>
      </c>
    </row>
    <row r="44" spans="2:18" x14ac:dyDescent="0.35">
      <c r="B44" s="73">
        <v>12</v>
      </c>
      <c r="C44" s="74">
        <f t="shared" ref="C44" si="64">(C43)</f>
        <v>3.3</v>
      </c>
      <c r="D44" s="75">
        <f t="shared" si="3"/>
        <v>0.27499999999999997</v>
      </c>
      <c r="E44" s="114">
        <f t="shared" si="4"/>
        <v>16.499999999999996</v>
      </c>
      <c r="F44" s="76">
        <f t="shared" si="5"/>
        <v>1.1458333333333331E-2</v>
      </c>
      <c r="H44" s="73">
        <v>12</v>
      </c>
      <c r="I44" s="74">
        <f t="shared" ref="I44" si="65">(I43)</f>
        <v>3.7</v>
      </c>
      <c r="J44" s="75">
        <f t="shared" si="6"/>
        <v>0.30833333333333335</v>
      </c>
      <c r="K44" s="114">
        <f t="shared" si="7"/>
        <v>18.5</v>
      </c>
      <c r="L44" s="76">
        <f t="shared" si="8"/>
        <v>1.2847222222222222E-2</v>
      </c>
      <c r="N44" s="73">
        <v>12</v>
      </c>
      <c r="O44" s="74">
        <f t="shared" si="63"/>
        <v>10</v>
      </c>
      <c r="P44" s="75">
        <f t="shared" si="60"/>
        <v>0.83333333333333337</v>
      </c>
      <c r="Q44" s="114">
        <f t="shared" si="61"/>
        <v>50</v>
      </c>
      <c r="R44" s="76">
        <f t="shared" si="62"/>
        <v>3.4722222222222224E-2</v>
      </c>
    </row>
    <row r="45" spans="2:18" x14ac:dyDescent="0.35">
      <c r="B45" s="73">
        <v>15</v>
      </c>
      <c r="C45" s="74">
        <f>(C43)</f>
        <v>3.3</v>
      </c>
      <c r="D45" s="75">
        <f t="shared" si="3"/>
        <v>0.22</v>
      </c>
      <c r="E45" s="114">
        <f t="shared" si="4"/>
        <v>13.2</v>
      </c>
      <c r="F45" s="76">
        <f t="shared" si="5"/>
        <v>9.1666666666666667E-3</v>
      </c>
      <c r="H45" s="73">
        <v>15</v>
      </c>
      <c r="I45" s="74">
        <f>(I43)</f>
        <v>3.7</v>
      </c>
      <c r="J45" s="75">
        <f t="shared" si="6"/>
        <v>0.24666666666666667</v>
      </c>
      <c r="K45" s="114">
        <f t="shared" si="7"/>
        <v>14.8</v>
      </c>
      <c r="L45" s="76">
        <f t="shared" si="8"/>
        <v>1.0277777777777778E-2</v>
      </c>
      <c r="N45" s="73">
        <v>15</v>
      </c>
      <c r="O45" s="74">
        <f t="shared" si="63"/>
        <v>10</v>
      </c>
      <c r="P45" s="75">
        <f t="shared" si="60"/>
        <v>0.66666666666666663</v>
      </c>
      <c r="Q45" s="114">
        <f t="shared" si="61"/>
        <v>40</v>
      </c>
      <c r="R45" s="76">
        <f t="shared" si="62"/>
        <v>2.7777777777777776E-2</v>
      </c>
    </row>
    <row r="46" spans="2:18" x14ac:dyDescent="0.35">
      <c r="B46" s="111">
        <v>18</v>
      </c>
      <c r="C46" s="74">
        <f t="shared" ref="C46:C49" si="66">(C44)</f>
        <v>3.3</v>
      </c>
      <c r="D46" s="75">
        <f t="shared" ref="D46:D49" si="67">(C46/B46)</f>
        <v>0.18333333333333332</v>
      </c>
      <c r="E46" s="114">
        <f t="shared" ref="E46:E49" si="68">(D46*60)</f>
        <v>11</v>
      </c>
      <c r="F46" s="76">
        <f t="shared" ref="F46:F49" si="69">(E46/1440)</f>
        <v>7.6388888888888886E-3</v>
      </c>
      <c r="H46" s="111">
        <v>18</v>
      </c>
      <c r="I46" s="74">
        <f t="shared" ref="I46:I49" si="70">(I44)</f>
        <v>3.7</v>
      </c>
      <c r="J46" s="75">
        <f t="shared" ref="J46:J49" si="71">(I46/H46)</f>
        <v>0.20555555555555557</v>
      </c>
      <c r="K46" s="114">
        <f t="shared" ref="K46:K49" si="72">(J46*60)</f>
        <v>12.333333333333334</v>
      </c>
      <c r="L46" s="76">
        <f t="shared" ref="L46:L49" si="73">(K46/1440)</f>
        <v>8.564814814814815E-3</v>
      </c>
      <c r="N46" s="73">
        <v>18</v>
      </c>
      <c r="O46" s="74">
        <f t="shared" si="63"/>
        <v>10</v>
      </c>
      <c r="P46" s="75">
        <f t="shared" si="60"/>
        <v>0.55555555555555558</v>
      </c>
      <c r="Q46" s="114">
        <f t="shared" si="61"/>
        <v>33.333333333333336</v>
      </c>
      <c r="R46" s="76">
        <f t="shared" si="62"/>
        <v>2.314814814814815E-2</v>
      </c>
    </row>
    <row r="47" spans="2:18" x14ac:dyDescent="0.35">
      <c r="B47" s="111">
        <v>20</v>
      </c>
      <c r="C47" s="74">
        <f t="shared" si="66"/>
        <v>3.3</v>
      </c>
      <c r="D47" s="75">
        <f t="shared" si="67"/>
        <v>0.16499999999999998</v>
      </c>
      <c r="E47" s="114">
        <f t="shared" si="68"/>
        <v>9.8999999999999986</v>
      </c>
      <c r="F47" s="76">
        <f t="shared" si="69"/>
        <v>6.8749999999999992E-3</v>
      </c>
      <c r="H47" s="111">
        <v>20</v>
      </c>
      <c r="I47" s="74">
        <f t="shared" si="70"/>
        <v>3.7</v>
      </c>
      <c r="J47" s="75">
        <f t="shared" si="71"/>
        <v>0.185</v>
      </c>
      <c r="K47" s="114">
        <f t="shared" si="72"/>
        <v>11.1</v>
      </c>
      <c r="L47" s="76">
        <f t="shared" si="73"/>
        <v>7.7083333333333327E-3</v>
      </c>
      <c r="N47" s="73">
        <v>20</v>
      </c>
      <c r="O47" s="74">
        <f t="shared" si="63"/>
        <v>10</v>
      </c>
      <c r="P47" s="75">
        <f t="shared" si="60"/>
        <v>0.5</v>
      </c>
      <c r="Q47" s="114">
        <f t="shared" si="61"/>
        <v>30</v>
      </c>
      <c r="R47" s="76">
        <f t="shared" si="62"/>
        <v>2.0833333333333332E-2</v>
      </c>
    </row>
    <row r="48" spans="2:18" x14ac:dyDescent="0.35">
      <c r="B48" s="111">
        <v>22</v>
      </c>
      <c r="C48" s="74">
        <f t="shared" si="66"/>
        <v>3.3</v>
      </c>
      <c r="D48" s="75">
        <f t="shared" si="67"/>
        <v>0.15</v>
      </c>
      <c r="E48" s="114">
        <f t="shared" si="68"/>
        <v>9</v>
      </c>
      <c r="F48" s="76">
        <f t="shared" si="69"/>
        <v>6.2500000000000003E-3</v>
      </c>
      <c r="H48" s="111">
        <v>22</v>
      </c>
      <c r="I48" s="74">
        <f t="shared" si="70"/>
        <v>3.7</v>
      </c>
      <c r="J48" s="75">
        <f t="shared" si="71"/>
        <v>0.16818181818181818</v>
      </c>
      <c r="K48" s="114">
        <f t="shared" si="72"/>
        <v>10.090909090909092</v>
      </c>
      <c r="L48" s="76">
        <f t="shared" si="73"/>
        <v>7.0075757575757585E-3</v>
      </c>
      <c r="N48" s="73">
        <v>22</v>
      </c>
      <c r="O48" s="74">
        <f t="shared" si="63"/>
        <v>10</v>
      </c>
      <c r="P48" s="75">
        <f t="shared" si="60"/>
        <v>0.45454545454545453</v>
      </c>
      <c r="Q48" s="114">
        <f t="shared" si="61"/>
        <v>27.272727272727273</v>
      </c>
      <c r="R48" s="76">
        <f t="shared" si="62"/>
        <v>1.893939393939394E-2</v>
      </c>
    </row>
    <row r="49" spans="2:18" x14ac:dyDescent="0.35">
      <c r="B49" s="111">
        <v>25</v>
      </c>
      <c r="C49" s="74">
        <f t="shared" si="66"/>
        <v>3.3</v>
      </c>
      <c r="D49" s="75">
        <f t="shared" si="67"/>
        <v>0.13200000000000001</v>
      </c>
      <c r="E49" s="114">
        <f t="shared" si="68"/>
        <v>7.92</v>
      </c>
      <c r="F49" s="76">
        <f t="shared" si="69"/>
        <v>5.4999999999999997E-3</v>
      </c>
      <c r="H49" s="111">
        <v>25</v>
      </c>
      <c r="I49" s="74">
        <f t="shared" si="70"/>
        <v>3.7</v>
      </c>
      <c r="J49" s="75">
        <f t="shared" si="71"/>
        <v>0.14800000000000002</v>
      </c>
      <c r="K49" s="114">
        <f t="shared" si="72"/>
        <v>8.8800000000000008</v>
      </c>
      <c r="L49" s="76">
        <f t="shared" si="73"/>
        <v>6.1666666666666675E-3</v>
      </c>
      <c r="N49" s="73">
        <v>25</v>
      </c>
      <c r="O49" s="74">
        <f t="shared" si="63"/>
        <v>10</v>
      </c>
      <c r="P49" s="75">
        <f t="shared" si="60"/>
        <v>0.4</v>
      </c>
      <c r="Q49" s="114">
        <f t="shared" si="61"/>
        <v>24</v>
      </c>
      <c r="R49" s="76">
        <f t="shared" si="62"/>
        <v>1.6666666666666666E-2</v>
      </c>
    </row>
    <row r="50" spans="2:18" ht="15" thickBot="1" x14ac:dyDescent="0.4">
      <c r="B50" s="64">
        <v>30</v>
      </c>
      <c r="C50" s="65">
        <f>(C44)</f>
        <v>3.3</v>
      </c>
      <c r="D50" s="66">
        <f t="shared" si="3"/>
        <v>0.11</v>
      </c>
      <c r="E50" s="427">
        <f t="shared" si="4"/>
        <v>6.6</v>
      </c>
      <c r="F50" s="77">
        <f t="shared" si="5"/>
        <v>4.5833333333333334E-3</v>
      </c>
      <c r="H50" s="64">
        <v>30</v>
      </c>
      <c r="I50" s="65">
        <f>(I44)</f>
        <v>3.7</v>
      </c>
      <c r="J50" s="66">
        <f t="shared" si="6"/>
        <v>0.12333333333333334</v>
      </c>
      <c r="K50" s="427">
        <f t="shared" si="7"/>
        <v>7.4</v>
      </c>
      <c r="L50" s="77">
        <f t="shared" si="8"/>
        <v>5.138888888888889E-3</v>
      </c>
      <c r="N50" s="73">
        <v>28</v>
      </c>
      <c r="O50" s="74">
        <f t="shared" si="63"/>
        <v>10</v>
      </c>
      <c r="P50" s="75">
        <f t="shared" si="60"/>
        <v>0.35714285714285715</v>
      </c>
      <c r="Q50" s="114">
        <f t="shared" si="61"/>
        <v>21.428571428571431</v>
      </c>
      <c r="R50" s="76">
        <f t="shared" si="62"/>
        <v>1.4880952380952382E-2</v>
      </c>
    </row>
    <row r="51" spans="2:18" x14ac:dyDescent="0.35">
      <c r="B51" s="70">
        <v>8</v>
      </c>
      <c r="C51" s="112">
        <v>4.0999999999999996</v>
      </c>
      <c r="D51" s="71">
        <f>(C51/B51)</f>
        <v>0.51249999999999996</v>
      </c>
      <c r="E51" s="113">
        <f>(D51*60)</f>
        <v>30.749999999999996</v>
      </c>
      <c r="F51" s="72">
        <f>(E51/1440)</f>
        <v>2.1354166666666664E-2</v>
      </c>
      <c r="H51" s="70">
        <v>8</v>
      </c>
      <c r="I51" s="112">
        <v>4.4000000000000004</v>
      </c>
      <c r="J51" s="71">
        <f>(I51/H51)</f>
        <v>0.55000000000000004</v>
      </c>
      <c r="K51" s="113">
        <f>(J51*60)</f>
        <v>33</v>
      </c>
      <c r="L51" s="72">
        <f>(K51/1440)</f>
        <v>2.2916666666666665E-2</v>
      </c>
      <c r="N51" s="73">
        <v>30</v>
      </c>
      <c r="O51" s="74">
        <f t="shared" si="63"/>
        <v>10</v>
      </c>
      <c r="P51" s="75">
        <f t="shared" si="60"/>
        <v>0.33333333333333331</v>
      </c>
      <c r="Q51" s="114">
        <f t="shared" si="61"/>
        <v>20</v>
      </c>
      <c r="R51" s="76">
        <f t="shared" si="62"/>
        <v>1.3888888888888888E-2</v>
      </c>
    </row>
    <row r="52" spans="2:18" ht="15" thickBot="1" x14ac:dyDescent="0.4">
      <c r="B52" s="73">
        <v>10</v>
      </c>
      <c r="C52" s="74">
        <f>(C51)</f>
        <v>4.0999999999999996</v>
      </c>
      <c r="D52" s="75">
        <f t="shared" ref="D52:D77" si="74">(C52/B52)</f>
        <v>0.41</v>
      </c>
      <c r="E52" s="114">
        <f t="shared" ref="E52:E77" si="75">(D52*60)</f>
        <v>24.599999999999998</v>
      </c>
      <c r="F52" s="76">
        <f t="shared" ref="F52:F77" si="76">(E52/1440)</f>
        <v>1.7083333333333332E-2</v>
      </c>
      <c r="H52" s="73">
        <v>10</v>
      </c>
      <c r="I52" s="74">
        <f>(I51)</f>
        <v>4.4000000000000004</v>
      </c>
      <c r="J52" s="75">
        <f t="shared" ref="J52:J77" si="77">(I52/H52)</f>
        <v>0.44000000000000006</v>
      </c>
      <c r="K52" s="114">
        <f t="shared" ref="K52:K77" si="78">(J52*60)</f>
        <v>26.400000000000002</v>
      </c>
      <c r="L52" s="76">
        <f t="shared" ref="L52:L77" si="79">(K52/1440)</f>
        <v>1.8333333333333333E-2</v>
      </c>
      <c r="N52" s="64">
        <v>35</v>
      </c>
      <c r="O52" s="65">
        <f t="shared" si="63"/>
        <v>10</v>
      </c>
      <c r="P52" s="66">
        <f t="shared" si="60"/>
        <v>0.2857142857142857</v>
      </c>
      <c r="Q52" s="427">
        <f t="shared" si="61"/>
        <v>17.142857142857142</v>
      </c>
      <c r="R52" s="77">
        <f t="shared" si="62"/>
        <v>1.1904761904761904E-2</v>
      </c>
    </row>
    <row r="53" spans="2:18" x14ac:dyDescent="0.35">
      <c r="B53" s="73">
        <v>12</v>
      </c>
      <c r="C53" s="74">
        <f t="shared" ref="C53" si="80">(C52)</f>
        <v>4.0999999999999996</v>
      </c>
      <c r="D53" s="75">
        <f t="shared" si="74"/>
        <v>0.34166666666666662</v>
      </c>
      <c r="E53" s="114">
        <f t="shared" si="75"/>
        <v>20.499999999999996</v>
      </c>
      <c r="F53" s="76">
        <f t="shared" si="76"/>
        <v>1.4236111111111109E-2</v>
      </c>
      <c r="H53" s="73">
        <v>12</v>
      </c>
      <c r="I53" s="74">
        <f t="shared" ref="I53" si="81">(I52)</f>
        <v>4.4000000000000004</v>
      </c>
      <c r="J53" s="75">
        <f t="shared" si="77"/>
        <v>0.3666666666666667</v>
      </c>
      <c r="K53" s="114">
        <f t="shared" si="78"/>
        <v>22</v>
      </c>
      <c r="L53" s="76">
        <f t="shared" si="79"/>
        <v>1.5277777777777777E-2</v>
      </c>
      <c r="N53" s="63"/>
      <c r="O53" s="63"/>
      <c r="P53" s="63"/>
      <c r="Q53" s="63"/>
      <c r="R53" s="63"/>
    </row>
    <row r="54" spans="2:18" ht="15" thickBot="1" x14ac:dyDescent="0.4">
      <c r="B54" s="73">
        <v>15</v>
      </c>
      <c r="C54" s="74">
        <f>(C52)</f>
        <v>4.0999999999999996</v>
      </c>
      <c r="D54" s="75">
        <f t="shared" si="74"/>
        <v>0.27333333333333332</v>
      </c>
      <c r="E54" s="114">
        <f t="shared" si="75"/>
        <v>16.399999999999999</v>
      </c>
      <c r="F54" s="76">
        <f t="shared" si="76"/>
        <v>1.1388888888888888E-2</v>
      </c>
      <c r="H54" s="73">
        <v>15</v>
      </c>
      <c r="I54" s="74">
        <f>(I52)</f>
        <v>4.4000000000000004</v>
      </c>
      <c r="J54" s="75">
        <f t="shared" si="77"/>
        <v>0.29333333333333333</v>
      </c>
      <c r="K54" s="114">
        <f t="shared" si="78"/>
        <v>17.600000000000001</v>
      </c>
      <c r="L54" s="76">
        <f t="shared" si="79"/>
        <v>1.2222222222222223E-2</v>
      </c>
      <c r="N54" s="453" t="s">
        <v>130</v>
      </c>
      <c r="O54" s="453"/>
      <c r="P54" s="453"/>
      <c r="Q54" s="453"/>
      <c r="R54" s="453"/>
    </row>
    <row r="55" spans="2:18" x14ac:dyDescent="0.35">
      <c r="B55" s="111">
        <v>18</v>
      </c>
      <c r="C55" s="74">
        <f t="shared" ref="C55:C58" si="82">(C53)</f>
        <v>4.0999999999999996</v>
      </c>
      <c r="D55" s="75">
        <f t="shared" ref="D55:D58" si="83">(C55/B55)</f>
        <v>0.22777777777777775</v>
      </c>
      <c r="E55" s="114">
        <f t="shared" ref="E55:E58" si="84">(D55*60)</f>
        <v>13.666666666666664</v>
      </c>
      <c r="F55" s="76">
        <f t="shared" ref="F55:F58" si="85">(E55/1440)</f>
        <v>9.4907407407407388E-3</v>
      </c>
      <c r="H55" s="111">
        <v>18</v>
      </c>
      <c r="I55" s="74">
        <f t="shared" ref="I55:I58" si="86">(I53)</f>
        <v>4.4000000000000004</v>
      </c>
      <c r="J55" s="75">
        <f t="shared" ref="J55:J58" si="87">(I55/H55)</f>
        <v>0.24444444444444446</v>
      </c>
      <c r="K55" s="114">
        <f t="shared" ref="K55:K58" si="88">(J55*60)</f>
        <v>14.666666666666668</v>
      </c>
      <c r="L55" s="76">
        <f t="shared" ref="L55:L58" si="89">(K55/1440)</f>
        <v>1.0185185185185186E-2</v>
      </c>
      <c r="N55" s="425"/>
      <c r="O55" s="426"/>
      <c r="P55" s="454" t="s">
        <v>25</v>
      </c>
      <c r="Q55" s="454"/>
      <c r="R55" s="455"/>
    </row>
    <row r="56" spans="2:18" ht="15" thickBot="1" x14ac:dyDescent="0.4">
      <c r="B56" s="111">
        <v>20</v>
      </c>
      <c r="C56" s="74">
        <f t="shared" si="82"/>
        <v>4.0999999999999996</v>
      </c>
      <c r="D56" s="75">
        <f t="shared" si="83"/>
        <v>0.20499999999999999</v>
      </c>
      <c r="E56" s="114">
        <f t="shared" si="84"/>
        <v>12.299999999999999</v>
      </c>
      <c r="F56" s="76">
        <f t="shared" si="85"/>
        <v>8.5416666666666662E-3</v>
      </c>
      <c r="H56" s="111">
        <v>20</v>
      </c>
      <c r="I56" s="74">
        <f t="shared" si="86"/>
        <v>4.4000000000000004</v>
      </c>
      <c r="J56" s="75">
        <f t="shared" si="87"/>
        <v>0.22000000000000003</v>
      </c>
      <c r="K56" s="114">
        <f t="shared" si="88"/>
        <v>13.200000000000001</v>
      </c>
      <c r="L56" s="76">
        <f t="shared" si="89"/>
        <v>9.1666666666666667E-3</v>
      </c>
      <c r="N56" s="64" t="s">
        <v>131</v>
      </c>
      <c r="O56" s="65" t="s">
        <v>40</v>
      </c>
      <c r="P56" s="66" t="s">
        <v>132</v>
      </c>
      <c r="Q56" s="67" t="s">
        <v>133</v>
      </c>
      <c r="R56" s="68" t="s">
        <v>134</v>
      </c>
    </row>
    <row r="57" spans="2:18" x14ac:dyDescent="0.35">
      <c r="B57" s="111">
        <v>22</v>
      </c>
      <c r="C57" s="74">
        <f t="shared" si="82"/>
        <v>4.0999999999999996</v>
      </c>
      <c r="D57" s="75">
        <f t="shared" si="83"/>
        <v>0.18636363636363634</v>
      </c>
      <c r="E57" s="114">
        <f t="shared" si="84"/>
        <v>11.18181818181818</v>
      </c>
      <c r="F57" s="76">
        <f t="shared" si="85"/>
        <v>7.765151515151514E-3</v>
      </c>
      <c r="H57" s="111">
        <v>22</v>
      </c>
      <c r="I57" s="74">
        <f t="shared" si="86"/>
        <v>4.4000000000000004</v>
      </c>
      <c r="J57" s="75">
        <f t="shared" si="87"/>
        <v>0.2</v>
      </c>
      <c r="K57" s="114">
        <f t="shared" si="88"/>
        <v>12</v>
      </c>
      <c r="L57" s="76">
        <f t="shared" si="89"/>
        <v>8.3333333333333332E-3</v>
      </c>
      <c r="N57" s="70">
        <v>4</v>
      </c>
      <c r="O57" s="112">
        <v>1</v>
      </c>
      <c r="P57" s="71">
        <f t="shared" ref="P57:P69" si="90">(O57/N57)</f>
        <v>0.25</v>
      </c>
      <c r="Q57" s="113">
        <f t="shared" ref="Q57:Q69" si="91">(P57*60)</f>
        <v>15</v>
      </c>
      <c r="R57" s="72">
        <f t="shared" ref="R57:R69" si="92">(Q57/1440)</f>
        <v>1.0416666666666666E-2</v>
      </c>
    </row>
    <row r="58" spans="2:18" x14ac:dyDescent="0.35">
      <c r="B58" s="111">
        <v>25</v>
      </c>
      <c r="C58" s="74">
        <f t="shared" si="82"/>
        <v>4.0999999999999996</v>
      </c>
      <c r="D58" s="75">
        <f t="shared" si="83"/>
        <v>0.16399999999999998</v>
      </c>
      <c r="E58" s="114">
        <f t="shared" si="84"/>
        <v>9.8399999999999981</v>
      </c>
      <c r="F58" s="76">
        <f t="shared" si="85"/>
        <v>6.8333333333333319E-3</v>
      </c>
      <c r="H58" s="111">
        <v>25</v>
      </c>
      <c r="I58" s="74">
        <f t="shared" si="86"/>
        <v>4.4000000000000004</v>
      </c>
      <c r="J58" s="75">
        <f t="shared" si="87"/>
        <v>0.17600000000000002</v>
      </c>
      <c r="K58" s="114">
        <f t="shared" si="88"/>
        <v>10.56</v>
      </c>
      <c r="L58" s="76">
        <f t="shared" si="89"/>
        <v>7.3333333333333341E-3</v>
      </c>
      <c r="N58" s="73">
        <v>6</v>
      </c>
      <c r="O58" s="74">
        <f>(O57)</f>
        <v>1</v>
      </c>
      <c r="P58" s="75">
        <f t="shared" si="90"/>
        <v>0.16666666666666666</v>
      </c>
      <c r="Q58" s="114">
        <f t="shared" si="91"/>
        <v>10</v>
      </c>
      <c r="R58" s="76">
        <f t="shared" si="92"/>
        <v>6.9444444444444441E-3</v>
      </c>
    </row>
    <row r="59" spans="2:18" ht="15" thickBot="1" x14ac:dyDescent="0.4">
      <c r="B59" s="64">
        <v>30</v>
      </c>
      <c r="C59" s="65">
        <f>(C53)</f>
        <v>4.0999999999999996</v>
      </c>
      <c r="D59" s="66">
        <f t="shared" si="74"/>
        <v>0.13666666666666666</v>
      </c>
      <c r="E59" s="427">
        <f t="shared" si="75"/>
        <v>8.1999999999999993</v>
      </c>
      <c r="F59" s="77">
        <f t="shared" si="76"/>
        <v>5.6944444444444438E-3</v>
      </c>
      <c r="H59" s="64">
        <v>30</v>
      </c>
      <c r="I59" s="65">
        <f>(I53)</f>
        <v>4.4000000000000004</v>
      </c>
      <c r="J59" s="66">
        <f t="shared" si="77"/>
        <v>0.14666666666666667</v>
      </c>
      <c r="K59" s="427">
        <f t="shared" si="78"/>
        <v>8.8000000000000007</v>
      </c>
      <c r="L59" s="77">
        <f t="shared" si="79"/>
        <v>6.1111111111111114E-3</v>
      </c>
      <c r="N59" s="73">
        <v>8</v>
      </c>
      <c r="O59" s="74">
        <f t="shared" ref="O59:O69" si="93">(O58)</f>
        <v>1</v>
      </c>
      <c r="P59" s="75">
        <f t="shared" si="90"/>
        <v>0.125</v>
      </c>
      <c r="Q59" s="114">
        <f t="shared" si="91"/>
        <v>7.5</v>
      </c>
      <c r="R59" s="76">
        <f t="shared" si="92"/>
        <v>5.208333333333333E-3</v>
      </c>
    </row>
    <row r="60" spans="2:18" x14ac:dyDescent="0.35">
      <c r="B60" s="70">
        <v>8</v>
      </c>
      <c r="C60" s="112">
        <v>4.8</v>
      </c>
      <c r="D60" s="71">
        <f t="shared" si="74"/>
        <v>0.6</v>
      </c>
      <c r="E60" s="113">
        <f t="shared" si="75"/>
        <v>36</v>
      </c>
      <c r="F60" s="72">
        <f t="shared" si="76"/>
        <v>2.5000000000000001E-2</v>
      </c>
      <c r="H60" s="70">
        <v>8</v>
      </c>
      <c r="I60" s="112">
        <v>5.0999999999999996</v>
      </c>
      <c r="J60" s="71">
        <f t="shared" si="77"/>
        <v>0.63749999999999996</v>
      </c>
      <c r="K60" s="113">
        <f t="shared" si="78"/>
        <v>38.25</v>
      </c>
      <c r="L60" s="72">
        <f t="shared" si="79"/>
        <v>2.6562499999999999E-2</v>
      </c>
      <c r="N60" s="73">
        <v>10</v>
      </c>
      <c r="O60" s="74">
        <f t="shared" si="93"/>
        <v>1</v>
      </c>
      <c r="P60" s="75">
        <f t="shared" si="90"/>
        <v>0.1</v>
      </c>
      <c r="Q60" s="114">
        <f t="shared" si="91"/>
        <v>6</v>
      </c>
      <c r="R60" s="76">
        <f t="shared" si="92"/>
        <v>4.1666666666666666E-3</v>
      </c>
    </row>
    <row r="61" spans="2:18" x14ac:dyDescent="0.35">
      <c r="B61" s="73">
        <v>10</v>
      </c>
      <c r="C61" s="74">
        <f>(C60)</f>
        <v>4.8</v>
      </c>
      <c r="D61" s="75">
        <f t="shared" si="74"/>
        <v>0.48</v>
      </c>
      <c r="E61" s="114">
        <f t="shared" si="75"/>
        <v>28.799999999999997</v>
      </c>
      <c r="F61" s="76">
        <f t="shared" si="76"/>
        <v>1.9999999999999997E-2</v>
      </c>
      <c r="H61" s="73">
        <v>10</v>
      </c>
      <c r="I61" s="74">
        <f>(I60)</f>
        <v>5.0999999999999996</v>
      </c>
      <c r="J61" s="75">
        <f t="shared" si="77"/>
        <v>0.51</v>
      </c>
      <c r="K61" s="114">
        <f t="shared" si="78"/>
        <v>30.6</v>
      </c>
      <c r="L61" s="76">
        <f t="shared" si="79"/>
        <v>2.1250000000000002E-2</v>
      </c>
      <c r="N61" s="73">
        <v>12</v>
      </c>
      <c r="O61" s="74">
        <f t="shared" si="93"/>
        <v>1</v>
      </c>
      <c r="P61" s="75">
        <f t="shared" si="90"/>
        <v>8.3333333333333329E-2</v>
      </c>
      <c r="Q61" s="114">
        <f t="shared" si="91"/>
        <v>5</v>
      </c>
      <c r="R61" s="76">
        <f t="shared" si="92"/>
        <v>3.472222222222222E-3</v>
      </c>
    </row>
    <row r="62" spans="2:18" x14ac:dyDescent="0.35">
      <c r="B62" s="73">
        <v>12</v>
      </c>
      <c r="C62" s="74">
        <f t="shared" ref="C62" si="94">(C61)</f>
        <v>4.8</v>
      </c>
      <c r="D62" s="75">
        <f t="shared" si="74"/>
        <v>0.39999999999999997</v>
      </c>
      <c r="E62" s="114">
        <f t="shared" si="75"/>
        <v>23.999999999999996</v>
      </c>
      <c r="F62" s="76">
        <f t="shared" si="76"/>
        <v>1.6666666666666663E-2</v>
      </c>
      <c r="H62" s="73">
        <v>12</v>
      </c>
      <c r="I62" s="74">
        <f t="shared" ref="I62" si="95">(I61)</f>
        <v>5.0999999999999996</v>
      </c>
      <c r="J62" s="75">
        <f t="shared" si="77"/>
        <v>0.42499999999999999</v>
      </c>
      <c r="K62" s="114">
        <f t="shared" si="78"/>
        <v>25.5</v>
      </c>
      <c r="L62" s="76">
        <f t="shared" si="79"/>
        <v>1.7708333333333333E-2</v>
      </c>
      <c r="N62" s="73">
        <v>15</v>
      </c>
      <c r="O62" s="74">
        <f t="shared" si="93"/>
        <v>1</v>
      </c>
      <c r="P62" s="75">
        <f t="shared" si="90"/>
        <v>6.6666666666666666E-2</v>
      </c>
      <c r="Q62" s="114">
        <f t="shared" si="91"/>
        <v>4</v>
      </c>
      <c r="R62" s="76">
        <f t="shared" si="92"/>
        <v>2.7777777777777779E-3</v>
      </c>
    </row>
    <row r="63" spans="2:18" x14ac:dyDescent="0.35">
      <c r="B63" s="73">
        <v>15</v>
      </c>
      <c r="C63" s="74">
        <f>(C61)</f>
        <v>4.8</v>
      </c>
      <c r="D63" s="75">
        <f t="shared" si="74"/>
        <v>0.32</v>
      </c>
      <c r="E63" s="114">
        <f t="shared" si="75"/>
        <v>19.2</v>
      </c>
      <c r="F63" s="76">
        <f t="shared" si="76"/>
        <v>1.3333333333333332E-2</v>
      </c>
      <c r="H63" s="73">
        <v>15</v>
      </c>
      <c r="I63" s="74">
        <f>(I61)</f>
        <v>5.0999999999999996</v>
      </c>
      <c r="J63" s="75">
        <f t="shared" si="77"/>
        <v>0.33999999999999997</v>
      </c>
      <c r="K63" s="114">
        <f t="shared" si="78"/>
        <v>20.399999999999999</v>
      </c>
      <c r="L63" s="76">
        <f t="shared" si="79"/>
        <v>1.4166666666666666E-2</v>
      </c>
      <c r="N63" s="73">
        <v>18</v>
      </c>
      <c r="O63" s="74">
        <f t="shared" si="93"/>
        <v>1</v>
      </c>
      <c r="P63" s="75">
        <f t="shared" si="90"/>
        <v>5.5555555555555552E-2</v>
      </c>
      <c r="Q63" s="114">
        <f t="shared" si="91"/>
        <v>3.333333333333333</v>
      </c>
      <c r="R63" s="76">
        <f t="shared" si="92"/>
        <v>2.3148148148148147E-3</v>
      </c>
    </row>
    <row r="64" spans="2:18" x14ac:dyDescent="0.35">
      <c r="B64" s="111">
        <v>18</v>
      </c>
      <c r="C64" s="74">
        <f t="shared" ref="C64:C67" si="96">(C62)</f>
        <v>4.8</v>
      </c>
      <c r="D64" s="75">
        <f t="shared" ref="D64:D67" si="97">(C64/B64)</f>
        <v>0.26666666666666666</v>
      </c>
      <c r="E64" s="114">
        <f t="shared" ref="E64:E67" si="98">(D64*60)</f>
        <v>16</v>
      </c>
      <c r="F64" s="76">
        <f t="shared" ref="F64:F67" si="99">(E64/1440)</f>
        <v>1.1111111111111112E-2</v>
      </c>
      <c r="H64" s="111">
        <v>18</v>
      </c>
      <c r="I64" s="74">
        <f t="shared" ref="I64:I67" si="100">(I62)</f>
        <v>5.0999999999999996</v>
      </c>
      <c r="J64" s="75">
        <f t="shared" ref="J64:J67" si="101">(I64/H64)</f>
        <v>0.28333333333333333</v>
      </c>
      <c r="K64" s="114">
        <f t="shared" ref="K64:K67" si="102">(J64*60)</f>
        <v>17</v>
      </c>
      <c r="L64" s="76">
        <f t="shared" ref="L64:L67" si="103">(K64/1440)</f>
        <v>1.1805555555555555E-2</v>
      </c>
      <c r="N64" s="73">
        <v>20</v>
      </c>
      <c r="O64" s="74">
        <f t="shared" si="93"/>
        <v>1</v>
      </c>
      <c r="P64" s="75">
        <f t="shared" si="90"/>
        <v>0.05</v>
      </c>
      <c r="Q64" s="114">
        <f t="shared" si="91"/>
        <v>3</v>
      </c>
      <c r="R64" s="76">
        <f t="shared" si="92"/>
        <v>2.0833333333333333E-3</v>
      </c>
    </row>
    <row r="65" spans="2:19" x14ac:dyDescent="0.35">
      <c r="B65" s="111">
        <v>20</v>
      </c>
      <c r="C65" s="74">
        <f t="shared" si="96"/>
        <v>4.8</v>
      </c>
      <c r="D65" s="75">
        <f t="shared" si="97"/>
        <v>0.24</v>
      </c>
      <c r="E65" s="114">
        <f t="shared" si="98"/>
        <v>14.399999999999999</v>
      </c>
      <c r="F65" s="76">
        <f t="shared" si="99"/>
        <v>9.9999999999999985E-3</v>
      </c>
      <c r="H65" s="111">
        <v>20</v>
      </c>
      <c r="I65" s="74">
        <f t="shared" si="100"/>
        <v>5.0999999999999996</v>
      </c>
      <c r="J65" s="75">
        <f t="shared" si="101"/>
        <v>0.255</v>
      </c>
      <c r="K65" s="114">
        <f t="shared" si="102"/>
        <v>15.3</v>
      </c>
      <c r="L65" s="76">
        <f t="shared" si="103"/>
        <v>1.0625000000000001E-2</v>
      </c>
      <c r="N65" s="73">
        <v>22</v>
      </c>
      <c r="O65" s="74">
        <f t="shared" si="93"/>
        <v>1</v>
      </c>
      <c r="P65" s="75">
        <f t="shared" si="90"/>
        <v>4.5454545454545456E-2</v>
      </c>
      <c r="Q65" s="114">
        <f t="shared" si="91"/>
        <v>2.7272727272727275</v>
      </c>
      <c r="R65" s="76">
        <f t="shared" si="92"/>
        <v>1.8939393939393942E-3</v>
      </c>
    </row>
    <row r="66" spans="2:19" x14ac:dyDescent="0.35">
      <c r="B66" s="111">
        <v>22</v>
      </c>
      <c r="C66" s="74">
        <f t="shared" si="96"/>
        <v>4.8</v>
      </c>
      <c r="D66" s="75">
        <f t="shared" si="97"/>
        <v>0.21818181818181817</v>
      </c>
      <c r="E66" s="114">
        <f t="shared" si="98"/>
        <v>13.09090909090909</v>
      </c>
      <c r="F66" s="76">
        <f t="shared" si="99"/>
        <v>9.0909090909090905E-3</v>
      </c>
      <c r="H66" s="111">
        <v>22</v>
      </c>
      <c r="I66" s="74">
        <f t="shared" si="100"/>
        <v>5.0999999999999996</v>
      </c>
      <c r="J66" s="75">
        <f t="shared" si="101"/>
        <v>0.23181818181818181</v>
      </c>
      <c r="K66" s="114">
        <f t="shared" si="102"/>
        <v>13.909090909090908</v>
      </c>
      <c r="L66" s="76">
        <f t="shared" si="103"/>
        <v>9.6590909090909088E-3</v>
      </c>
      <c r="N66" s="73">
        <v>25</v>
      </c>
      <c r="O66" s="74">
        <f t="shared" si="93"/>
        <v>1</v>
      </c>
      <c r="P66" s="75">
        <f t="shared" si="90"/>
        <v>0.04</v>
      </c>
      <c r="Q66" s="114">
        <f t="shared" si="91"/>
        <v>2.4</v>
      </c>
      <c r="R66" s="76">
        <f t="shared" si="92"/>
        <v>1.6666666666666666E-3</v>
      </c>
    </row>
    <row r="67" spans="2:19" x14ac:dyDescent="0.35">
      <c r="B67" s="111">
        <v>25</v>
      </c>
      <c r="C67" s="74">
        <f t="shared" si="96"/>
        <v>4.8</v>
      </c>
      <c r="D67" s="75">
        <f t="shared" si="97"/>
        <v>0.192</v>
      </c>
      <c r="E67" s="114">
        <f t="shared" si="98"/>
        <v>11.52</v>
      </c>
      <c r="F67" s="76">
        <f t="shared" si="99"/>
        <v>8.0000000000000002E-3</v>
      </c>
      <c r="H67" s="111">
        <v>25</v>
      </c>
      <c r="I67" s="74">
        <f t="shared" si="100"/>
        <v>5.0999999999999996</v>
      </c>
      <c r="J67" s="75">
        <f t="shared" si="101"/>
        <v>0.20399999999999999</v>
      </c>
      <c r="K67" s="114">
        <f t="shared" si="102"/>
        <v>12.239999999999998</v>
      </c>
      <c r="L67" s="76">
        <f t="shared" si="103"/>
        <v>8.4999999999999989E-3</v>
      </c>
      <c r="N67" s="73">
        <v>28</v>
      </c>
      <c r="O67" s="74">
        <f t="shared" si="93"/>
        <v>1</v>
      </c>
      <c r="P67" s="75">
        <f t="shared" si="90"/>
        <v>3.5714285714285712E-2</v>
      </c>
      <c r="Q67" s="114">
        <f t="shared" si="91"/>
        <v>2.1428571428571428</v>
      </c>
      <c r="R67" s="76">
        <f t="shared" si="92"/>
        <v>1.488095238095238E-3</v>
      </c>
    </row>
    <row r="68" spans="2:19" ht="15" thickBot="1" x14ac:dyDescent="0.4">
      <c r="B68" s="64">
        <v>30</v>
      </c>
      <c r="C68" s="65">
        <f>(C62)</f>
        <v>4.8</v>
      </c>
      <c r="D68" s="66">
        <f t="shared" si="74"/>
        <v>0.16</v>
      </c>
      <c r="E68" s="427">
        <f t="shared" si="75"/>
        <v>9.6</v>
      </c>
      <c r="F68" s="77">
        <f t="shared" si="76"/>
        <v>6.6666666666666662E-3</v>
      </c>
      <c r="H68" s="64">
        <v>30</v>
      </c>
      <c r="I68" s="65">
        <f>(I62)</f>
        <v>5.0999999999999996</v>
      </c>
      <c r="J68" s="66">
        <f t="shared" si="77"/>
        <v>0.16999999999999998</v>
      </c>
      <c r="K68" s="427">
        <f t="shared" si="78"/>
        <v>10.199999999999999</v>
      </c>
      <c r="L68" s="77">
        <f t="shared" si="79"/>
        <v>7.083333333333333E-3</v>
      </c>
      <c r="N68" s="73">
        <v>30</v>
      </c>
      <c r="O68" s="74">
        <f t="shared" si="93"/>
        <v>1</v>
      </c>
      <c r="P68" s="75">
        <f t="shared" si="90"/>
        <v>3.3333333333333333E-2</v>
      </c>
      <c r="Q68" s="114">
        <f t="shared" si="91"/>
        <v>2</v>
      </c>
      <c r="R68" s="76">
        <f t="shared" si="92"/>
        <v>1.3888888888888889E-3</v>
      </c>
    </row>
    <row r="69" spans="2:19" ht="15" thickBot="1" x14ac:dyDescent="0.4">
      <c r="B69" s="70">
        <v>8</v>
      </c>
      <c r="C69" s="112">
        <v>5.5</v>
      </c>
      <c r="D69" s="71">
        <f t="shared" si="74"/>
        <v>0.6875</v>
      </c>
      <c r="E69" s="113">
        <f t="shared" si="75"/>
        <v>41.25</v>
      </c>
      <c r="F69" s="72">
        <f t="shared" si="76"/>
        <v>2.8645833333333332E-2</v>
      </c>
      <c r="H69" s="70">
        <v>8</v>
      </c>
      <c r="I69" s="112">
        <v>6.1</v>
      </c>
      <c r="J69" s="71">
        <f t="shared" si="77"/>
        <v>0.76249999999999996</v>
      </c>
      <c r="K69" s="113">
        <f t="shared" si="78"/>
        <v>45.75</v>
      </c>
      <c r="L69" s="72">
        <f t="shared" si="79"/>
        <v>3.1770833333333331E-2</v>
      </c>
      <c r="N69" s="64">
        <v>35</v>
      </c>
      <c r="O69" s="65">
        <f t="shared" si="93"/>
        <v>1</v>
      </c>
      <c r="P69" s="66">
        <f t="shared" si="90"/>
        <v>2.8571428571428571E-2</v>
      </c>
      <c r="Q69" s="427">
        <f t="shared" si="91"/>
        <v>1.7142857142857142</v>
      </c>
      <c r="R69" s="77">
        <f t="shared" si="92"/>
        <v>1.1904761904761904E-3</v>
      </c>
    </row>
    <row r="70" spans="2:19" ht="15" thickBot="1" x14ac:dyDescent="0.4">
      <c r="B70" s="73">
        <v>10</v>
      </c>
      <c r="C70" s="74">
        <f>(C69)</f>
        <v>5.5</v>
      </c>
      <c r="D70" s="75">
        <f t="shared" si="74"/>
        <v>0.55000000000000004</v>
      </c>
      <c r="E70" s="114">
        <f t="shared" si="75"/>
        <v>33</v>
      </c>
      <c r="F70" s="76">
        <f t="shared" si="76"/>
        <v>2.2916666666666665E-2</v>
      </c>
      <c r="H70" s="73">
        <v>10</v>
      </c>
      <c r="I70" s="74">
        <f>(I69)</f>
        <v>6.1</v>
      </c>
      <c r="J70" s="75">
        <f t="shared" si="77"/>
        <v>0.61</v>
      </c>
      <c r="K70" s="114">
        <f t="shared" si="78"/>
        <v>36.6</v>
      </c>
      <c r="L70" s="76">
        <f t="shared" si="79"/>
        <v>2.5416666666666667E-2</v>
      </c>
      <c r="N70" s="63"/>
      <c r="O70" s="63"/>
      <c r="P70" s="63"/>
      <c r="Q70" s="63"/>
      <c r="R70" s="63"/>
      <c r="S70" s="439"/>
    </row>
    <row r="71" spans="2:19" ht="15" thickBot="1" x14ac:dyDescent="0.4">
      <c r="B71" s="73">
        <v>12</v>
      </c>
      <c r="C71" s="74">
        <f t="shared" ref="C71" si="104">(C70)</f>
        <v>5.5</v>
      </c>
      <c r="D71" s="75">
        <f t="shared" si="74"/>
        <v>0.45833333333333331</v>
      </c>
      <c r="E71" s="114">
        <f t="shared" si="75"/>
        <v>27.5</v>
      </c>
      <c r="F71" s="76">
        <f t="shared" si="76"/>
        <v>1.9097222222222224E-2</v>
      </c>
      <c r="H71" s="73">
        <v>12</v>
      </c>
      <c r="I71" s="74">
        <f t="shared" ref="I71" si="105">(I70)</f>
        <v>6.1</v>
      </c>
      <c r="J71" s="75">
        <f t="shared" si="77"/>
        <v>0.5083333333333333</v>
      </c>
      <c r="K71" s="114">
        <f t="shared" si="78"/>
        <v>30.5</v>
      </c>
      <c r="L71" s="76">
        <f t="shared" si="79"/>
        <v>2.1180555555555557E-2</v>
      </c>
      <c r="N71" s="441" t="s">
        <v>163</v>
      </c>
      <c r="O71" s="442"/>
      <c r="P71" s="442"/>
      <c r="Q71" s="442"/>
      <c r="R71" s="443"/>
    </row>
    <row r="72" spans="2:19" ht="15" thickBot="1" x14ac:dyDescent="0.4">
      <c r="B72" s="73">
        <v>15</v>
      </c>
      <c r="C72" s="74">
        <f>(C70)</f>
        <v>5.5</v>
      </c>
      <c r="D72" s="75">
        <f t="shared" si="74"/>
        <v>0.36666666666666664</v>
      </c>
      <c r="E72" s="114">
        <f t="shared" si="75"/>
        <v>22</v>
      </c>
      <c r="F72" s="76">
        <f t="shared" si="76"/>
        <v>1.5277777777777777E-2</v>
      </c>
      <c r="H72" s="73">
        <v>15</v>
      </c>
      <c r="I72" s="74">
        <f>(I70)</f>
        <v>6.1</v>
      </c>
      <c r="J72" s="75">
        <f t="shared" si="77"/>
        <v>0.40666666666666662</v>
      </c>
      <c r="K72" s="114">
        <f t="shared" si="78"/>
        <v>24.4</v>
      </c>
      <c r="L72" s="76">
        <f t="shared" si="79"/>
        <v>1.6944444444444443E-2</v>
      </c>
      <c r="N72" s="444" t="s">
        <v>164</v>
      </c>
      <c r="O72" s="445"/>
      <c r="P72" s="446"/>
      <c r="Q72" s="447" t="s">
        <v>165</v>
      </c>
      <c r="R72" s="448"/>
    </row>
    <row r="73" spans="2:19" ht="15" customHeight="1" thickBot="1" x14ac:dyDescent="0.4">
      <c r="B73" s="111">
        <v>18</v>
      </c>
      <c r="C73" s="74">
        <f t="shared" ref="C73:C76" si="106">(C71)</f>
        <v>5.5</v>
      </c>
      <c r="D73" s="75">
        <f t="shared" ref="D73:D76" si="107">(C73/B73)</f>
        <v>0.30555555555555558</v>
      </c>
      <c r="E73" s="114">
        <f t="shared" ref="E73:E76" si="108">(D73*60)</f>
        <v>18.333333333333336</v>
      </c>
      <c r="F73" s="76">
        <f t="shared" ref="F73:F76" si="109">(E73/1440)</f>
        <v>1.2731481481481483E-2</v>
      </c>
      <c r="H73" s="111">
        <v>18</v>
      </c>
      <c r="I73" s="74">
        <f t="shared" ref="I73:I76" si="110">(I71)</f>
        <v>6.1</v>
      </c>
      <c r="J73" s="75">
        <f t="shared" ref="J73:J76" si="111">(I73/H73)</f>
        <v>0.33888888888888885</v>
      </c>
      <c r="K73" s="114">
        <f t="shared" ref="K73:K76" si="112">(J73*60)</f>
        <v>20.333333333333332</v>
      </c>
      <c r="L73" s="76">
        <f t="shared" ref="L73:L76" si="113">(K73/1440)</f>
        <v>1.412037037037037E-2</v>
      </c>
      <c r="N73" s="428" t="s">
        <v>135</v>
      </c>
      <c r="O73" s="429" t="s">
        <v>136</v>
      </c>
      <c r="P73" s="430" t="s">
        <v>137</v>
      </c>
      <c r="Q73" s="449"/>
      <c r="R73" s="450"/>
    </row>
    <row r="74" spans="2:19" x14ac:dyDescent="0.35">
      <c r="B74" s="111">
        <v>20</v>
      </c>
      <c r="C74" s="74">
        <f t="shared" si="106"/>
        <v>5.5</v>
      </c>
      <c r="D74" s="75">
        <f t="shared" si="107"/>
        <v>0.27500000000000002</v>
      </c>
      <c r="E74" s="114">
        <f t="shared" si="108"/>
        <v>16.5</v>
      </c>
      <c r="F74" s="76">
        <f t="shared" si="109"/>
        <v>1.1458333333333333E-2</v>
      </c>
      <c r="H74" s="111">
        <v>20</v>
      </c>
      <c r="I74" s="74">
        <f t="shared" si="110"/>
        <v>6.1</v>
      </c>
      <c r="J74" s="75">
        <f t="shared" si="111"/>
        <v>0.30499999999999999</v>
      </c>
      <c r="K74" s="114">
        <f t="shared" si="112"/>
        <v>18.3</v>
      </c>
      <c r="L74" s="76">
        <f t="shared" si="113"/>
        <v>1.2708333333333334E-2</v>
      </c>
      <c r="N74" s="116">
        <v>21</v>
      </c>
      <c r="O74" s="431">
        <f>(N74+P74)</f>
        <v>8.15</v>
      </c>
      <c r="P74" s="115">
        <v>-12.85</v>
      </c>
      <c r="Q74" s="449"/>
      <c r="R74" s="450"/>
    </row>
    <row r="75" spans="2:19" x14ac:dyDescent="0.35">
      <c r="B75" s="111">
        <v>22</v>
      </c>
      <c r="C75" s="74">
        <f t="shared" si="106"/>
        <v>5.5</v>
      </c>
      <c r="D75" s="75">
        <f t="shared" si="107"/>
        <v>0.25</v>
      </c>
      <c r="E75" s="114">
        <f t="shared" si="108"/>
        <v>15</v>
      </c>
      <c r="F75" s="76">
        <f t="shared" si="109"/>
        <v>1.0416666666666666E-2</v>
      </c>
      <c r="H75" s="111">
        <v>22</v>
      </c>
      <c r="I75" s="74">
        <f t="shared" si="110"/>
        <v>6.1</v>
      </c>
      <c r="J75" s="75">
        <f t="shared" si="111"/>
        <v>0.27727272727272728</v>
      </c>
      <c r="K75" s="114">
        <f t="shared" si="112"/>
        <v>16.636363636363637</v>
      </c>
      <c r="L75" s="76">
        <f t="shared" si="113"/>
        <v>1.1553030303030303E-2</v>
      </c>
      <c r="N75" s="73">
        <f>N74+90</f>
        <v>111</v>
      </c>
      <c r="O75" s="432">
        <f t="shared" ref="O75:O77" si="114">(N75+P75)</f>
        <v>98.15</v>
      </c>
      <c r="P75" s="433">
        <f>P74</f>
        <v>-12.85</v>
      </c>
      <c r="Q75" s="449"/>
      <c r="R75" s="450"/>
    </row>
    <row r="76" spans="2:19" x14ac:dyDescent="0.35">
      <c r="B76" s="111">
        <v>25</v>
      </c>
      <c r="C76" s="74">
        <f t="shared" si="106"/>
        <v>5.5</v>
      </c>
      <c r="D76" s="75">
        <f t="shared" si="107"/>
        <v>0.22</v>
      </c>
      <c r="E76" s="114">
        <f t="shared" si="108"/>
        <v>13.2</v>
      </c>
      <c r="F76" s="76">
        <f t="shared" si="109"/>
        <v>9.1666666666666667E-3</v>
      </c>
      <c r="H76" s="111">
        <v>25</v>
      </c>
      <c r="I76" s="74">
        <f t="shared" si="110"/>
        <v>6.1</v>
      </c>
      <c r="J76" s="75">
        <f t="shared" si="111"/>
        <v>0.24399999999999999</v>
      </c>
      <c r="K76" s="114">
        <f t="shared" si="112"/>
        <v>14.64</v>
      </c>
      <c r="L76" s="76">
        <f t="shared" si="113"/>
        <v>1.0166666666666668E-2</v>
      </c>
      <c r="N76" s="73">
        <f t="shared" ref="N76:N77" si="115">N75+90</f>
        <v>201</v>
      </c>
      <c r="O76" s="432">
        <f t="shared" si="114"/>
        <v>188.15</v>
      </c>
      <c r="P76" s="433">
        <f>P74</f>
        <v>-12.85</v>
      </c>
      <c r="Q76" s="449"/>
      <c r="R76" s="450"/>
    </row>
    <row r="77" spans="2:19" ht="15" thickBot="1" x14ac:dyDescent="0.4">
      <c r="B77" s="64">
        <v>30</v>
      </c>
      <c r="C77" s="65">
        <f>(C71)</f>
        <v>5.5</v>
      </c>
      <c r="D77" s="66">
        <f t="shared" si="74"/>
        <v>0.18333333333333332</v>
      </c>
      <c r="E77" s="427">
        <f t="shared" si="75"/>
        <v>11</v>
      </c>
      <c r="F77" s="77">
        <f t="shared" si="76"/>
        <v>7.6388888888888886E-3</v>
      </c>
      <c r="H77" s="64">
        <v>30</v>
      </c>
      <c r="I77" s="65">
        <f>(I71)</f>
        <v>6.1</v>
      </c>
      <c r="J77" s="66">
        <f t="shared" si="77"/>
        <v>0.20333333333333331</v>
      </c>
      <c r="K77" s="427">
        <f t="shared" si="78"/>
        <v>12.2</v>
      </c>
      <c r="L77" s="77">
        <f t="shared" si="79"/>
        <v>8.4722222222222213E-3</v>
      </c>
      <c r="N77" s="64">
        <f t="shared" si="115"/>
        <v>291</v>
      </c>
      <c r="O77" s="434">
        <f t="shared" si="114"/>
        <v>278.14999999999998</v>
      </c>
      <c r="P77" s="435">
        <f>P74</f>
        <v>-12.85</v>
      </c>
      <c r="Q77" s="451"/>
      <c r="R77" s="452"/>
    </row>
    <row r="78" spans="2:19" x14ac:dyDescent="0.35">
      <c r="B78" s="420"/>
      <c r="C78" s="438"/>
      <c r="D78" s="421"/>
      <c r="E78" s="63"/>
      <c r="F78" s="63"/>
      <c r="H78" s="63"/>
      <c r="I78" s="439"/>
      <c r="J78" s="63"/>
      <c r="K78" s="63"/>
      <c r="L78" s="63"/>
      <c r="N78" s="63"/>
      <c r="O78" s="63"/>
      <c r="P78" s="439"/>
      <c r="Q78" s="63"/>
      <c r="R78" s="63"/>
    </row>
  </sheetData>
  <sheetProtection algorithmName="SHA-512" hashValue="NCrDIDPKDpnXI8PYu3ETGYaAJFYsdZnmij6YUhZFVITkzv/A0/otKHCdncTZQAwSALsJTUWEbGkr0dQapTB0nA==" saltValue="G6tUpfahJNamTlXbHdC1hQ==" spinCount="100000" sheet="1" objects="1" scenarios="1" selectLockedCells="1"/>
  <mergeCells count="17">
    <mergeCell ref="B2:L2"/>
    <mergeCell ref="N3:R3"/>
    <mergeCell ref="N2:R2"/>
    <mergeCell ref="N20:R20"/>
    <mergeCell ref="P21:R21"/>
    <mergeCell ref="B3:F3"/>
    <mergeCell ref="H3:L3"/>
    <mergeCell ref="D4:F4"/>
    <mergeCell ref="J4:L4"/>
    <mergeCell ref="P4:R4"/>
    <mergeCell ref="N71:R71"/>
    <mergeCell ref="N72:P72"/>
    <mergeCell ref="Q72:R77"/>
    <mergeCell ref="N37:R37"/>
    <mergeCell ref="P38:R38"/>
    <mergeCell ref="N54:R54"/>
    <mergeCell ref="P55:R5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3"/>
  <sheetViews>
    <sheetView topLeftCell="A49" workbookViewId="0">
      <selection activeCell="E82" sqref="E82"/>
    </sheetView>
  </sheetViews>
  <sheetFormatPr defaultColWidth="0" defaultRowHeight="10" zeroHeight="1" x14ac:dyDescent="0.2"/>
  <cols>
    <col min="1" max="1" width="12.6328125" style="34" customWidth="1"/>
    <col min="2" max="2" width="7.36328125" style="60" customWidth="1"/>
    <col min="3" max="11" width="7.36328125" style="61" customWidth="1"/>
    <col min="12" max="17" width="7.36328125" style="34" customWidth="1"/>
    <col min="18" max="18" width="3.36328125" style="34" customWidth="1"/>
    <col min="19" max="26" width="9.1796875" style="34" customWidth="1"/>
    <col min="27" max="16384" width="9.1796875" style="34" hidden="1"/>
  </cols>
  <sheetData>
    <row r="1" spans="1:19" ht="26.25" customHeight="1" x14ac:dyDescent="0.5">
      <c r="A1" s="30"/>
      <c r="B1" s="31"/>
      <c r="C1" s="32"/>
      <c r="D1" s="32"/>
      <c r="E1" s="32"/>
      <c r="F1" s="32"/>
      <c r="G1" s="32"/>
      <c r="H1" s="32"/>
      <c r="I1" s="33" t="s">
        <v>79</v>
      </c>
      <c r="J1" s="32"/>
      <c r="K1" s="32"/>
      <c r="L1" s="30"/>
      <c r="M1" s="30"/>
      <c r="N1" s="30"/>
      <c r="O1" s="30"/>
      <c r="P1" s="30"/>
      <c r="Q1" s="30"/>
      <c r="R1" s="30"/>
      <c r="S1" s="34" t="s">
        <v>80</v>
      </c>
    </row>
    <row r="2" spans="1:19" ht="6.75" customHeight="1" x14ac:dyDescent="0.2">
      <c r="A2" s="30"/>
      <c r="B2" s="31"/>
      <c r="C2" s="32"/>
      <c r="D2" s="32"/>
      <c r="E2" s="32"/>
      <c r="F2" s="32"/>
      <c r="G2" s="32"/>
      <c r="H2" s="32"/>
      <c r="I2" s="32"/>
      <c r="J2" s="32"/>
      <c r="K2" s="32"/>
      <c r="L2" s="30"/>
      <c r="M2" s="30"/>
      <c r="N2" s="30"/>
      <c r="O2" s="30"/>
      <c r="P2" s="30"/>
      <c r="Q2" s="30"/>
      <c r="R2" s="30"/>
    </row>
    <row r="3" spans="1:19" ht="15.75" customHeight="1" x14ac:dyDescent="0.35">
      <c r="A3" s="32"/>
      <c r="B3" s="31"/>
      <c r="C3" s="32"/>
      <c r="D3" s="32"/>
      <c r="E3" s="32"/>
      <c r="F3" s="32"/>
      <c r="G3" s="32"/>
      <c r="H3" s="32"/>
      <c r="I3" s="35" t="s">
        <v>81</v>
      </c>
      <c r="J3" s="32"/>
      <c r="K3" s="32"/>
      <c r="L3" s="30"/>
      <c r="M3" s="30"/>
      <c r="N3" s="30"/>
      <c r="O3" s="30"/>
      <c r="P3" s="30"/>
      <c r="Q3" s="30"/>
      <c r="R3" s="30"/>
      <c r="S3" s="34" t="s">
        <v>82</v>
      </c>
    </row>
    <row r="4" spans="1:19" ht="15.75" customHeight="1" x14ac:dyDescent="0.25">
      <c r="A4" s="32"/>
      <c r="B4" s="36" t="s">
        <v>83</v>
      </c>
      <c r="C4" s="36" t="s">
        <v>84</v>
      </c>
      <c r="D4" s="36" t="s">
        <v>85</v>
      </c>
      <c r="E4" s="36" t="s">
        <v>86</v>
      </c>
      <c r="F4" s="36" t="s">
        <v>87</v>
      </c>
      <c r="G4" s="36" t="s">
        <v>88</v>
      </c>
      <c r="H4" s="36" t="s">
        <v>89</v>
      </c>
      <c r="I4" s="36" t="s">
        <v>90</v>
      </c>
      <c r="J4" s="36" t="s">
        <v>91</v>
      </c>
      <c r="K4" s="36" t="s">
        <v>92</v>
      </c>
      <c r="L4" s="36" t="s">
        <v>93</v>
      </c>
      <c r="M4" s="36" t="s">
        <v>94</v>
      </c>
      <c r="N4" s="36" t="s">
        <v>95</v>
      </c>
      <c r="O4" s="36" t="s">
        <v>96</v>
      </c>
      <c r="P4" s="36" t="s">
        <v>97</v>
      </c>
      <c r="Q4" s="36" t="s">
        <v>98</v>
      </c>
      <c r="R4" s="30"/>
    </row>
    <row r="5" spans="1:19" ht="13.5" customHeight="1" x14ac:dyDescent="0.3">
      <c r="A5" s="37" t="s">
        <v>99</v>
      </c>
      <c r="B5" s="183">
        <v>588.24</v>
      </c>
      <c r="C5" s="183">
        <v>534.24</v>
      </c>
      <c r="D5" s="183">
        <v>501.84</v>
      </c>
      <c r="E5" s="183">
        <v>477</v>
      </c>
      <c r="F5" s="183">
        <v>447.84</v>
      </c>
      <c r="G5" s="183">
        <v>419.76</v>
      </c>
      <c r="H5" s="183">
        <v>379.8</v>
      </c>
      <c r="I5" s="183">
        <v>331.2</v>
      </c>
      <c r="J5" s="183">
        <v>306.36</v>
      </c>
      <c r="K5" s="183">
        <v>273.95999999999998</v>
      </c>
      <c r="L5" s="183">
        <v>223.2</v>
      </c>
      <c r="M5" s="183">
        <v>150.84</v>
      </c>
      <c r="N5" s="183">
        <v>91.439999999999856</v>
      </c>
      <c r="O5" s="183">
        <v>57.960000000000143</v>
      </c>
      <c r="P5" s="183">
        <v>17.999999999999769</v>
      </c>
      <c r="Q5" s="183">
        <v>12.599999999999767</v>
      </c>
      <c r="R5" s="30"/>
    </row>
    <row r="6" spans="1:19" ht="13.5" customHeight="1" x14ac:dyDescent="0.3">
      <c r="A6" s="38" t="s">
        <v>98</v>
      </c>
      <c r="B6" s="183">
        <v>575.64</v>
      </c>
      <c r="C6" s="183">
        <v>521.64</v>
      </c>
      <c r="D6" s="183">
        <v>489.24</v>
      </c>
      <c r="E6" s="183">
        <v>464.4</v>
      </c>
      <c r="F6" s="183">
        <v>435.24</v>
      </c>
      <c r="G6" s="183">
        <v>407.16</v>
      </c>
      <c r="H6" s="183">
        <v>367.2</v>
      </c>
      <c r="I6" s="183">
        <v>318.60000000000002</v>
      </c>
      <c r="J6" s="183">
        <v>293.76</v>
      </c>
      <c r="K6" s="183">
        <v>261.36</v>
      </c>
      <c r="L6" s="183">
        <v>210.6</v>
      </c>
      <c r="M6" s="183">
        <v>138.24</v>
      </c>
      <c r="N6" s="183">
        <v>78.840000000000103</v>
      </c>
      <c r="O6" s="183">
        <v>45.360000000000376</v>
      </c>
      <c r="P6" s="183">
        <v>5.4</v>
      </c>
      <c r="Q6" s="39">
        <v>0</v>
      </c>
      <c r="R6" s="30"/>
    </row>
    <row r="7" spans="1:19" ht="13.5" customHeight="1" x14ac:dyDescent="0.3">
      <c r="A7" s="38" t="s">
        <v>97</v>
      </c>
      <c r="B7" s="183">
        <v>570.24</v>
      </c>
      <c r="C7" s="183">
        <v>516.24</v>
      </c>
      <c r="D7" s="183">
        <v>483.84</v>
      </c>
      <c r="E7" s="183">
        <v>459</v>
      </c>
      <c r="F7" s="183">
        <v>429.84</v>
      </c>
      <c r="G7" s="183">
        <v>401.76</v>
      </c>
      <c r="H7" s="183">
        <v>361.8</v>
      </c>
      <c r="I7" s="183">
        <v>313.2</v>
      </c>
      <c r="J7" s="183">
        <v>288.36</v>
      </c>
      <c r="K7" s="183">
        <v>255.96</v>
      </c>
      <c r="L7" s="183">
        <v>205.2</v>
      </c>
      <c r="M7" s="183">
        <v>132.84</v>
      </c>
      <c r="N7" s="183">
        <v>73.440000000000097</v>
      </c>
      <c r="O7" s="183">
        <v>39.960000000000377</v>
      </c>
      <c r="P7" s="39">
        <v>0</v>
      </c>
      <c r="Q7" s="40">
        <v>5.4</v>
      </c>
      <c r="R7" s="30"/>
    </row>
    <row r="8" spans="1:19" ht="13.5" customHeight="1" x14ac:dyDescent="0.3">
      <c r="A8" s="41" t="s">
        <v>100</v>
      </c>
      <c r="B8" s="183">
        <v>552.6514285714286</v>
      </c>
      <c r="C8" s="183">
        <v>498.6514285714286</v>
      </c>
      <c r="D8" s="183">
        <v>466.25142857142856</v>
      </c>
      <c r="E8" s="183">
        <v>441.41142857142859</v>
      </c>
      <c r="F8" s="183">
        <v>412.25142857142856</v>
      </c>
      <c r="G8" s="183">
        <v>384.17142857142858</v>
      </c>
      <c r="H8" s="183">
        <v>344.2114285714286</v>
      </c>
      <c r="I8" s="183">
        <v>295.61142857142858</v>
      </c>
      <c r="J8" s="183">
        <v>270.77142857142854</v>
      </c>
      <c r="K8" s="183">
        <v>238.37142857142859</v>
      </c>
      <c r="L8" s="183">
        <v>187.61142857142858</v>
      </c>
      <c r="M8" s="183">
        <v>115.25142857142858</v>
      </c>
      <c r="N8" s="183">
        <v>55.851428571428293</v>
      </c>
      <c r="O8" s="183">
        <v>22.371428571428574</v>
      </c>
      <c r="P8" s="40">
        <v>17.588571428571804</v>
      </c>
      <c r="Q8" s="40">
        <v>22.988571428571806</v>
      </c>
      <c r="R8" s="30"/>
    </row>
    <row r="9" spans="1:19" ht="13.5" customHeight="1" x14ac:dyDescent="0.3">
      <c r="A9" s="41" t="s">
        <v>101</v>
      </c>
      <c r="B9" s="183">
        <v>546.48</v>
      </c>
      <c r="C9" s="183">
        <v>492.48</v>
      </c>
      <c r="D9" s="183">
        <v>460.08</v>
      </c>
      <c r="E9" s="183">
        <v>435.24</v>
      </c>
      <c r="F9" s="183">
        <v>406.08</v>
      </c>
      <c r="G9" s="183">
        <v>378</v>
      </c>
      <c r="H9" s="183">
        <v>338.04</v>
      </c>
      <c r="I9" s="183">
        <v>289.44</v>
      </c>
      <c r="J9" s="183">
        <v>264.60000000000002</v>
      </c>
      <c r="K9" s="183">
        <v>232.2</v>
      </c>
      <c r="L9" s="183">
        <v>181.44</v>
      </c>
      <c r="M9" s="183">
        <v>109.08</v>
      </c>
      <c r="N9" s="183">
        <v>49.679999999999723</v>
      </c>
      <c r="O9" s="183">
        <v>16.2</v>
      </c>
      <c r="P9" s="40">
        <v>23.760000000000375</v>
      </c>
      <c r="Q9" s="40">
        <v>29.160000000000377</v>
      </c>
      <c r="R9" s="30"/>
    </row>
    <row r="10" spans="1:19" ht="13.5" customHeight="1" x14ac:dyDescent="0.3">
      <c r="A10" s="38" t="s">
        <v>96</v>
      </c>
      <c r="B10" s="183">
        <v>530.28</v>
      </c>
      <c r="C10" s="183">
        <v>476.28</v>
      </c>
      <c r="D10" s="183">
        <v>443.88</v>
      </c>
      <c r="E10" s="183">
        <v>419.04</v>
      </c>
      <c r="F10" s="183">
        <v>389.88</v>
      </c>
      <c r="G10" s="183">
        <v>361.8</v>
      </c>
      <c r="H10" s="183">
        <v>321.83999999999997</v>
      </c>
      <c r="I10" s="183">
        <v>273.24</v>
      </c>
      <c r="J10" s="183">
        <v>248.4</v>
      </c>
      <c r="K10" s="183">
        <v>216</v>
      </c>
      <c r="L10" s="183">
        <v>165.24</v>
      </c>
      <c r="M10" s="183">
        <v>92.879999999999725</v>
      </c>
      <c r="N10" s="183">
        <v>33.47999999999972</v>
      </c>
      <c r="O10" s="39">
        <v>0</v>
      </c>
      <c r="P10" s="40">
        <v>39.960000000000377</v>
      </c>
      <c r="Q10" s="40">
        <v>45.360000000000376</v>
      </c>
      <c r="R10" s="30"/>
    </row>
    <row r="11" spans="1:19" ht="13.5" customHeight="1" x14ac:dyDescent="0.3">
      <c r="A11" s="41" t="s">
        <v>102</v>
      </c>
      <c r="B11" s="183">
        <v>513</v>
      </c>
      <c r="C11" s="183">
        <v>459</v>
      </c>
      <c r="D11" s="183">
        <v>426.6</v>
      </c>
      <c r="E11" s="183">
        <v>401.76</v>
      </c>
      <c r="F11" s="183">
        <v>372.6</v>
      </c>
      <c r="G11" s="183">
        <v>344.52</v>
      </c>
      <c r="H11" s="183">
        <v>304.56</v>
      </c>
      <c r="I11" s="183">
        <v>255.96</v>
      </c>
      <c r="J11" s="183">
        <v>231.12</v>
      </c>
      <c r="K11" s="183">
        <v>198.72</v>
      </c>
      <c r="L11" s="183">
        <v>147.96</v>
      </c>
      <c r="M11" s="183">
        <v>75.599999999999994</v>
      </c>
      <c r="N11" s="183">
        <v>16.2</v>
      </c>
      <c r="O11" s="40">
        <v>17.27999999999972</v>
      </c>
      <c r="P11" s="40">
        <v>57.240000000000094</v>
      </c>
      <c r="Q11" s="40">
        <v>62.6400000000001</v>
      </c>
      <c r="R11" s="30"/>
    </row>
    <row r="12" spans="1:19" ht="13.5" customHeight="1" x14ac:dyDescent="0.3">
      <c r="A12" s="38" t="s">
        <v>103</v>
      </c>
      <c r="B12" s="183">
        <v>496.8</v>
      </c>
      <c r="C12" s="183">
        <v>442.8</v>
      </c>
      <c r="D12" s="183">
        <v>410.4</v>
      </c>
      <c r="E12" s="183">
        <v>385.56</v>
      </c>
      <c r="F12" s="183">
        <v>356.4</v>
      </c>
      <c r="G12" s="183">
        <v>328.32</v>
      </c>
      <c r="H12" s="183">
        <v>288.36</v>
      </c>
      <c r="I12" s="183">
        <v>239.76</v>
      </c>
      <c r="J12" s="183">
        <v>214.92</v>
      </c>
      <c r="K12" s="183">
        <v>182.52</v>
      </c>
      <c r="L12" s="183">
        <v>131.76</v>
      </c>
      <c r="M12" s="183">
        <v>59.4</v>
      </c>
      <c r="N12" s="39">
        <v>0</v>
      </c>
      <c r="O12" s="40">
        <v>33.47999999999972</v>
      </c>
      <c r="P12" s="40">
        <v>73.440000000000097</v>
      </c>
      <c r="Q12" s="40">
        <v>78.840000000000103</v>
      </c>
      <c r="R12" s="30"/>
    </row>
    <row r="13" spans="1:19" ht="13.5" customHeight="1" x14ac:dyDescent="0.3">
      <c r="A13" s="41" t="s">
        <v>104</v>
      </c>
      <c r="B13" s="183">
        <v>465.48</v>
      </c>
      <c r="C13" s="183">
        <v>411.48</v>
      </c>
      <c r="D13" s="183">
        <v>379.08</v>
      </c>
      <c r="E13" s="183">
        <v>354.24</v>
      </c>
      <c r="F13" s="183">
        <v>325.08</v>
      </c>
      <c r="G13" s="183">
        <v>297</v>
      </c>
      <c r="H13" s="183">
        <v>257.04000000000002</v>
      </c>
      <c r="I13" s="183">
        <v>208.44</v>
      </c>
      <c r="J13" s="183">
        <v>183.6</v>
      </c>
      <c r="K13" s="183">
        <v>151.19999999999999</v>
      </c>
      <c r="L13" s="183">
        <v>100.44</v>
      </c>
      <c r="M13" s="183">
        <v>28.079999999999721</v>
      </c>
      <c r="N13" s="40">
        <v>31.320000000000277</v>
      </c>
      <c r="O13" s="40">
        <v>64.8</v>
      </c>
      <c r="P13" s="40">
        <v>104.76</v>
      </c>
      <c r="Q13" s="40">
        <v>110.16</v>
      </c>
      <c r="R13" s="30"/>
    </row>
    <row r="14" spans="1:19" ht="13.5" customHeight="1" x14ac:dyDescent="0.3">
      <c r="A14" s="41" t="s">
        <v>105</v>
      </c>
      <c r="B14" s="183">
        <v>450.36</v>
      </c>
      <c r="C14" s="183">
        <v>396.36</v>
      </c>
      <c r="D14" s="183">
        <v>363.96</v>
      </c>
      <c r="E14" s="183">
        <v>339.12</v>
      </c>
      <c r="F14" s="183">
        <v>309.95999999999998</v>
      </c>
      <c r="G14" s="183">
        <v>281.88</v>
      </c>
      <c r="H14" s="183">
        <v>241.92</v>
      </c>
      <c r="I14" s="183">
        <v>193.32</v>
      </c>
      <c r="J14" s="183">
        <v>168.48</v>
      </c>
      <c r="K14" s="183">
        <v>136.08000000000001</v>
      </c>
      <c r="L14" s="183">
        <v>85.319999999999823</v>
      </c>
      <c r="M14" s="183">
        <v>12.959999999999907</v>
      </c>
      <c r="N14" s="40">
        <v>46.44000000000009</v>
      </c>
      <c r="O14" s="40">
        <v>79.919999999999817</v>
      </c>
      <c r="P14" s="40">
        <v>119.88</v>
      </c>
      <c r="Q14" s="40">
        <v>125.28</v>
      </c>
      <c r="R14" s="30"/>
    </row>
    <row r="15" spans="1:19" ht="13.5" customHeight="1" x14ac:dyDescent="0.3">
      <c r="A15" s="38" t="s">
        <v>106</v>
      </c>
      <c r="B15" s="183">
        <v>437.4</v>
      </c>
      <c r="C15" s="183">
        <v>383.4</v>
      </c>
      <c r="D15" s="183">
        <v>351</v>
      </c>
      <c r="E15" s="183">
        <v>326.16000000000003</v>
      </c>
      <c r="F15" s="183">
        <v>297</v>
      </c>
      <c r="G15" s="183">
        <v>268.92</v>
      </c>
      <c r="H15" s="183">
        <v>228.96</v>
      </c>
      <c r="I15" s="183">
        <v>180.36</v>
      </c>
      <c r="J15" s="183">
        <v>155.52000000000001</v>
      </c>
      <c r="K15" s="183">
        <v>123.12</v>
      </c>
      <c r="L15" s="183">
        <v>72.359999999999914</v>
      </c>
      <c r="M15" s="39">
        <v>0</v>
      </c>
      <c r="N15" s="40">
        <v>59.4</v>
      </c>
      <c r="O15" s="40">
        <v>92.879999999999725</v>
      </c>
      <c r="P15" s="40">
        <v>132.84</v>
      </c>
      <c r="Q15" s="40">
        <v>138.24</v>
      </c>
      <c r="R15" s="30"/>
    </row>
    <row r="16" spans="1:19" ht="13.5" customHeight="1" x14ac:dyDescent="0.3">
      <c r="A16" s="38" t="s">
        <v>107</v>
      </c>
      <c r="B16" s="183">
        <v>401.76</v>
      </c>
      <c r="C16" s="183">
        <v>347.76</v>
      </c>
      <c r="D16" s="183">
        <v>315.36</v>
      </c>
      <c r="E16" s="183">
        <v>290.52</v>
      </c>
      <c r="F16" s="183">
        <v>261.36</v>
      </c>
      <c r="G16" s="183">
        <v>233.28</v>
      </c>
      <c r="H16" s="183">
        <v>193.32</v>
      </c>
      <c r="I16" s="183">
        <v>144.72</v>
      </c>
      <c r="J16" s="183">
        <v>119.88</v>
      </c>
      <c r="K16" s="183">
        <v>87.480000000000189</v>
      </c>
      <c r="L16" s="183">
        <v>36.719999999999814</v>
      </c>
      <c r="M16" s="40">
        <v>35.6400000000001</v>
      </c>
      <c r="N16" s="40">
        <v>95.040000000000092</v>
      </c>
      <c r="O16" s="40">
        <v>128.52000000000001</v>
      </c>
      <c r="P16" s="40">
        <v>168.48</v>
      </c>
      <c r="Q16" s="40">
        <v>173.88</v>
      </c>
      <c r="R16" s="30"/>
    </row>
    <row r="17" spans="1:18" ht="13.5" customHeight="1" x14ac:dyDescent="0.3">
      <c r="A17" s="38" t="s">
        <v>108</v>
      </c>
      <c r="B17" s="183">
        <v>365.04</v>
      </c>
      <c r="C17" s="183">
        <v>311.04000000000002</v>
      </c>
      <c r="D17" s="183">
        <v>278.64</v>
      </c>
      <c r="E17" s="183">
        <v>253.8</v>
      </c>
      <c r="F17" s="183">
        <v>224.64</v>
      </c>
      <c r="G17" s="183">
        <v>196.56</v>
      </c>
      <c r="H17" s="183">
        <v>156.6</v>
      </c>
      <c r="I17" s="183">
        <v>108</v>
      </c>
      <c r="J17" s="183">
        <v>83.16000000000038</v>
      </c>
      <c r="K17" s="183">
        <v>50.760000000000382</v>
      </c>
      <c r="L17" s="39">
        <v>0</v>
      </c>
      <c r="M17" s="40">
        <v>72.359999999999914</v>
      </c>
      <c r="N17" s="40">
        <v>131.76</v>
      </c>
      <c r="O17" s="40">
        <v>165.24</v>
      </c>
      <c r="P17" s="40">
        <v>205.2</v>
      </c>
      <c r="Q17" s="40">
        <v>210.6</v>
      </c>
      <c r="R17" s="30"/>
    </row>
    <row r="18" spans="1:18" ht="13.5" customHeight="1" x14ac:dyDescent="0.3">
      <c r="A18" s="41" t="s">
        <v>109</v>
      </c>
      <c r="B18" s="183">
        <v>349.92</v>
      </c>
      <c r="C18" s="183">
        <v>295.92</v>
      </c>
      <c r="D18" s="183">
        <v>263.52</v>
      </c>
      <c r="E18" s="183">
        <v>238.68</v>
      </c>
      <c r="F18" s="183">
        <v>209.52</v>
      </c>
      <c r="G18" s="183">
        <v>181.44</v>
      </c>
      <c r="H18" s="183">
        <v>141.47999999999999</v>
      </c>
      <c r="I18" s="183">
        <v>92.88000000000018</v>
      </c>
      <c r="J18" s="183">
        <v>68.04000000000056</v>
      </c>
      <c r="K18" s="183">
        <v>35.640000000000562</v>
      </c>
      <c r="L18" s="40">
        <v>15.119999999999813</v>
      </c>
      <c r="M18" s="40">
        <v>87.47999999999972</v>
      </c>
      <c r="N18" s="40">
        <v>146.88</v>
      </c>
      <c r="O18" s="40">
        <v>180.35999999999945</v>
      </c>
      <c r="P18" s="40">
        <v>220.32</v>
      </c>
      <c r="Q18" s="40">
        <v>225.72</v>
      </c>
      <c r="R18" s="30"/>
    </row>
    <row r="19" spans="1:18" ht="13.5" customHeight="1" x14ac:dyDescent="0.3">
      <c r="A19" s="41" t="s">
        <v>110</v>
      </c>
      <c r="B19" s="183">
        <v>338.04</v>
      </c>
      <c r="C19" s="183">
        <v>284.04000000000002</v>
      </c>
      <c r="D19" s="183">
        <v>251.64</v>
      </c>
      <c r="E19" s="183">
        <v>226.8</v>
      </c>
      <c r="F19" s="183">
        <v>197.64</v>
      </c>
      <c r="G19" s="183">
        <v>169.56</v>
      </c>
      <c r="H19" s="183">
        <v>129.6</v>
      </c>
      <c r="I19" s="183">
        <v>81</v>
      </c>
      <c r="J19" s="183">
        <v>56.160000000000373</v>
      </c>
      <c r="K19" s="183">
        <v>23.760000000000375</v>
      </c>
      <c r="L19" s="40">
        <v>27</v>
      </c>
      <c r="M19" s="40">
        <v>99.3599999999999</v>
      </c>
      <c r="N19" s="40">
        <v>158.76</v>
      </c>
      <c r="O19" s="40">
        <v>192.24</v>
      </c>
      <c r="P19" s="40">
        <v>232.2</v>
      </c>
      <c r="Q19" s="40">
        <v>237.6</v>
      </c>
      <c r="R19" s="30"/>
    </row>
    <row r="20" spans="1:18" ht="13.5" customHeight="1" x14ac:dyDescent="0.3">
      <c r="A20" s="38" t="s">
        <v>111</v>
      </c>
      <c r="B20" s="183">
        <v>314.27999999999997</v>
      </c>
      <c r="C20" s="183">
        <v>260.27999999999997</v>
      </c>
      <c r="D20" s="183">
        <v>227.88</v>
      </c>
      <c r="E20" s="183">
        <v>203.04</v>
      </c>
      <c r="F20" s="183">
        <v>173.88</v>
      </c>
      <c r="G20" s="183">
        <v>145.80000000000001</v>
      </c>
      <c r="H20" s="183">
        <v>105.84</v>
      </c>
      <c r="I20" s="183">
        <v>57.239999999999633</v>
      </c>
      <c r="J20" s="183">
        <v>32.4</v>
      </c>
      <c r="K20" s="39">
        <v>0</v>
      </c>
      <c r="L20" s="40">
        <v>50.760000000000382</v>
      </c>
      <c r="M20" s="40">
        <v>123.12</v>
      </c>
      <c r="N20" s="40">
        <v>182.52</v>
      </c>
      <c r="O20" s="40">
        <v>216</v>
      </c>
      <c r="P20" s="40">
        <v>255.96</v>
      </c>
      <c r="Q20" s="40">
        <v>261.36</v>
      </c>
      <c r="R20" s="30"/>
    </row>
    <row r="21" spans="1:18" ht="13.5" customHeight="1" x14ac:dyDescent="0.3">
      <c r="A21" s="38" t="s">
        <v>91</v>
      </c>
      <c r="B21" s="183">
        <v>281.88</v>
      </c>
      <c r="C21" s="183">
        <v>227.88</v>
      </c>
      <c r="D21" s="183">
        <v>195.48</v>
      </c>
      <c r="E21" s="183">
        <v>170.64</v>
      </c>
      <c r="F21" s="183">
        <v>141.47999999999999</v>
      </c>
      <c r="G21" s="183">
        <v>113.4</v>
      </c>
      <c r="H21" s="183">
        <v>73.439999999999628</v>
      </c>
      <c r="I21" s="183">
        <v>24.839999999999627</v>
      </c>
      <c r="J21" s="39">
        <v>0</v>
      </c>
      <c r="K21" s="40">
        <v>32.4</v>
      </c>
      <c r="L21" s="40">
        <v>83.16000000000038</v>
      </c>
      <c r="M21" s="40">
        <v>155.52000000000001</v>
      </c>
      <c r="N21" s="40">
        <v>214.92</v>
      </c>
      <c r="O21" s="40">
        <v>248.4</v>
      </c>
      <c r="P21" s="40">
        <v>288.36</v>
      </c>
      <c r="Q21" s="40">
        <v>293.76</v>
      </c>
      <c r="R21" s="30"/>
    </row>
    <row r="22" spans="1:18" ht="13.5" customHeight="1" x14ac:dyDescent="0.3">
      <c r="A22" s="41" t="s">
        <v>112</v>
      </c>
      <c r="B22" s="183">
        <v>267.83999999999997</v>
      </c>
      <c r="C22" s="183">
        <v>213.84</v>
      </c>
      <c r="D22" s="183">
        <v>181.44</v>
      </c>
      <c r="E22" s="183">
        <v>156.6</v>
      </c>
      <c r="F22" s="183">
        <v>127.44</v>
      </c>
      <c r="G22" s="183">
        <v>99.3599999999999</v>
      </c>
      <c r="H22" s="183">
        <v>59.4</v>
      </c>
      <c r="I22" s="183">
        <v>10.8</v>
      </c>
      <c r="J22" s="40">
        <v>14.039999999999626</v>
      </c>
      <c r="K22" s="40">
        <v>46.439999999999628</v>
      </c>
      <c r="L22" s="40">
        <v>97.2</v>
      </c>
      <c r="M22" s="40">
        <v>169.56</v>
      </c>
      <c r="N22" s="40">
        <v>228.96</v>
      </c>
      <c r="O22" s="40">
        <v>262.44</v>
      </c>
      <c r="P22" s="40">
        <v>302.39999999999998</v>
      </c>
      <c r="Q22" s="40">
        <v>307.8</v>
      </c>
      <c r="R22" s="30"/>
    </row>
    <row r="23" spans="1:18" ht="13.5" customHeight="1" x14ac:dyDescent="0.3">
      <c r="A23" s="38" t="s">
        <v>90</v>
      </c>
      <c r="B23" s="183">
        <v>257.04000000000002</v>
      </c>
      <c r="C23" s="183">
        <v>203.04</v>
      </c>
      <c r="D23" s="183">
        <v>170.64</v>
      </c>
      <c r="E23" s="183">
        <v>145.80000000000001</v>
      </c>
      <c r="F23" s="183">
        <v>116.64</v>
      </c>
      <c r="G23" s="183">
        <v>88.559999999999917</v>
      </c>
      <c r="H23" s="183">
        <v>48.6</v>
      </c>
      <c r="I23" s="39">
        <v>0</v>
      </c>
      <c r="J23" s="40">
        <v>24.839999999999627</v>
      </c>
      <c r="K23" s="40">
        <v>57.239999999999633</v>
      </c>
      <c r="L23" s="40">
        <v>108</v>
      </c>
      <c r="M23" s="40">
        <v>180.36</v>
      </c>
      <c r="N23" s="40">
        <v>239.76</v>
      </c>
      <c r="O23" s="40">
        <v>273.24</v>
      </c>
      <c r="P23" s="40">
        <v>313.2</v>
      </c>
      <c r="Q23" s="40">
        <v>318.60000000000002</v>
      </c>
      <c r="R23" s="30"/>
    </row>
    <row r="24" spans="1:18" ht="13.5" customHeight="1" x14ac:dyDescent="0.3">
      <c r="A24" s="41" t="s">
        <v>113</v>
      </c>
      <c r="B24" s="183">
        <v>245.72571428571428</v>
      </c>
      <c r="C24" s="183">
        <v>191.72571428571428</v>
      </c>
      <c r="D24" s="183">
        <v>159.3257142857143</v>
      </c>
      <c r="E24" s="183">
        <v>134.48571428571429</v>
      </c>
      <c r="F24" s="183">
        <v>105.3257142857143</v>
      </c>
      <c r="G24" s="183">
        <v>77.245714285714186</v>
      </c>
      <c r="H24" s="183">
        <v>37.285714285714292</v>
      </c>
      <c r="I24" s="40">
        <v>11.314285714285715</v>
      </c>
      <c r="J24" s="40">
        <v>36.154285714285344</v>
      </c>
      <c r="K24" s="40">
        <v>68.554285714285342</v>
      </c>
      <c r="L24" s="40">
        <v>119.31428571428572</v>
      </c>
      <c r="M24" s="40">
        <v>191.6742857142857</v>
      </c>
      <c r="N24" s="40">
        <v>251.07428571428568</v>
      </c>
      <c r="O24" s="40">
        <v>284.5542857142857</v>
      </c>
      <c r="P24" s="40">
        <v>324.51428571428573</v>
      </c>
      <c r="Q24" s="40">
        <v>329.91428571428571</v>
      </c>
      <c r="R24" s="30"/>
    </row>
    <row r="25" spans="1:18" ht="13.5" customHeight="1" x14ac:dyDescent="0.3">
      <c r="A25" s="41" t="s">
        <v>114</v>
      </c>
      <c r="B25" s="183">
        <v>234.41142857142859</v>
      </c>
      <c r="C25" s="183">
        <v>180.41142857142859</v>
      </c>
      <c r="D25" s="183">
        <v>148.01142857142858</v>
      </c>
      <c r="E25" s="183">
        <v>123.17142857142858</v>
      </c>
      <c r="F25" s="183">
        <v>94.011428571428581</v>
      </c>
      <c r="G25" s="183">
        <v>65.931428571428484</v>
      </c>
      <c r="H25" s="183">
        <v>25.971428571428575</v>
      </c>
      <c r="I25" s="40">
        <v>22.62857142857143</v>
      </c>
      <c r="J25" s="40">
        <v>47.468571428571053</v>
      </c>
      <c r="K25" s="40">
        <v>79.868571428571059</v>
      </c>
      <c r="L25" s="40">
        <v>130.62857142857143</v>
      </c>
      <c r="M25" s="40">
        <v>202.98857142857142</v>
      </c>
      <c r="N25" s="40">
        <v>262.38857142857148</v>
      </c>
      <c r="O25" s="40">
        <v>295.86857142857139</v>
      </c>
      <c r="P25" s="40">
        <v>335.82857142857142</v>
      </c>
      <c r="Q25" s="40">
        <v>341.22857142857146</v>
      </c>
      <c r="R25" s="30"/>
    </row>
    <row r="26" spans="1:18" ht="13.5" customHeight="1" x14ac:dyDescent="0.3">
      <c r="A26" s="41" t="s">
        <v>115</v>
      </c>
      <c r="B26" s="183">
        <v>224.64</v>
      </c>
      <c r="C26" s="183">
        <v>170.64</v>
      </c>
      <c r="D26" s="183">
        <v>138.24</v>
      </c>
      <c r="E26" s="183">
        <v>113.4</v>
      </c>
      <c r="F26" s="183">
        <v>84.240000000000094</v>
      </c>
      <c r="G26" s="183">
        <v>56.159999999999904</v>
      </c>
      <c r="H26" s="183">
        <v>16.2</v>
      </c>
      <c r="I26" s="40">
        <v>32.4</v>
      </c>
      <c r="J26" s="40">
        <v>57.239999999999633</v>
      </c>
      <c r="K26" s="40">
        <v>89.639999999999631</v>
      </c>
      <c r="L26" s="40">
        <v>140.4</v>
      </c>
      <c r="M26" s="40">
        <v>212.76</v>
      </c>
      <c r="N26" s="40">
        <v>272.16000000000003</v>
      </c>
      <c r="O26" s="40">
        <v>305.64</v>
      </c>
      <c r="P26" s="40">
        <v>345.6</v>
      </c>
      <c r="Q26" s="40">
        <v>351</v>
      </c>
      <c r="R26" s="30"/>
    </row>
    <row r="27" spans="1:18" ht="13.5" customHeight="1" x14ac:dyDescent="0.3">
      <c r="A27" s="38" t="s">
        <v>89</v>
      </c>
      <c r="B27" s="183">
        <v>208.44</v>
      </c>
      <c r="C27" s="183">
        <v>154.44</v>
      </c>
      <c r="D27" s="183">
        <v>122.04</v>
      </c>
      <c r="E27" s="183">
        <v>97.2</v>
      </c>
      <c r="F27" s="183">
        <v>68.040000000000106</v>
      </c>
      <c r="G27" s="183">
        <v>39.959999999999908</v>
      </c>
      <c r="H27" s="39">
        <v>0</v>
      </c>
      <c r="I27" s="40">
        <v>48.6</v>
      </c>
      <c r="J27" s="40">
        <v>73.439999999999628</v>
      </c>
      <c r="K27" s="40">
        <v>105.84</v>
      </c>
      <c r="L27" s="40">
        <v>156.6</v>
      </c>
      <c r="M27" s="40">
        <v>228.96</v>
      </c>
      <c r="N27" s="40">
        <v>288.36</v>
      </c>
      <c r="O27" s="40">
        <v>321.83999999999997</v>
      </c>
      <c r="P27" s="40">
        <v>361.8</v>
      </c>
      <c r="Q27" s="40">
        <v>367.2</v>
      </c>
      <c r="R27" s="30"/>
    </row>
    <row r="28" spans="1:18" ht="13.5" customHeight="1" x14ac:dyDescent="0.3">
      <c r="A28" s="41" t="s">
        <v>116</v>
      </c>
      <c r="B28" s="183">
        <v>197.12571428571431</v>
      </c>
      <c r="C28" s="183">
        <v>143.12571428571428</v>
      </c>
      <c r="D28" s="183">
        <v>110.72571428571429</v>
      </c>
      <c r="E28" s="183">
        <v>85.885714285714286</v>
      </c>
      <c r="F28" s="183">
        <v>56.725714285714382</v>
      </c>
      <c r="G28" s="183">
        <v>28.645714285714192</v>
      </c>
      <c r="H28" s="40">
        <v>11.314285714285715</v>
      </c>
      <c r="I28" s="40">
        <v>59.914285714285718</v>
      </c>
      <c r="J28" s="40">
        <v>84.754285714285331</v>
      </c>
      <c r="K28" s="40">
        <v>117.15428571428572</v>
      </c>
      <c r="L28" s="40">
        <v>167.91428571428571</v>
      </c>
      <c r="M28" s="40">
        <v>240.27428571428572</v>
      </c>
      <c r="N28" s="40">
        <v>299.67428571428576</v>
      </c>
      <c r="O28" s="40">
        <v>333.15428571428572</v>
      </c>
      <c r="P28" s="40">
        <v>373.11428571428576</v>
      </c>
      <c r="Q28" s="40">
        <v>378.51428571428573</v>
      </c>
      <c r="R28" s="30"/>
    </row>
    <row r="29" spans="1:18" ht="13.5" customHeight="1" x14ac:dyDescent="0.3">
      <c r="A29" s="41" t="s">
        <v>117</v>
      </c>
      <c r="B29" s="183">
        <v>192.78</v>
      </c>
      <c r="C29" s="183">
        <v>138.78</v>
      </c>
      <c r="D29" s="183">
        <v>106.38</v>
      </c>
      <c r="E29" s="183">
        <v>81.540000000000092</v>
      </c>
      <c r="F29" s="183">
        <v>52.380000000000187</v>
      </c>
      <c r="G29" s="183">
        <v>24.3</v>
      </c>
      <c r="H29" s="40">
        <v>15.659999999999906</v>
      </c>
      <c r="I29" s="40">
        <v>64.259999999999906</v>
      </c>
      <c r="J29" s="40">
        <v>89.099999999999525</v>
      </c>
      <c r="K29" s="40">
        <v>121.5</v>
      </c>
      <c r="L29" s="40">
        <v>172.26</v>
      </c>
      <c r="M29" s="40">
        <v>244.62</v>
      </c>
      <c r="N29" s="40">
        <v>304.02</v>
      </c>
      <c r="O29" s="40">
        <v>337.5</v>
      </c>
      <c r="P29" s="40">
        <v>377.46</v>
      </c>
      <c r="Q29" s="40">
        <v>382.86</v>
      </c>
      <c r="R29" s="30"/>
    </row>
    <row r="30" spans="1:18" ht="13.5" customHeight="1" x14ac:dyDescent="0.3">
      <c r="A30" s="38" t="s">
        <v>88</v>
      </c>
      <c r="B30" s="183">
        <v>168.48</v>
      </c>
      <c r="C30" s="183">
        <v>114.48</v>
      </c>
      <c r="D30" s="183">
        <v>82.080000000000183</v>
      </c>
      <c r="E30" s="183">
        <v>57.240000000000094</v>
      </c>
      <c r="F30" s="183">
        <v>28.080000000000187</v>
      </c>
      <c r="G30" s="39">
        <v>0</v>
      </c>
      <c r="H30" s="40">
        <v>39.959999999999908</v>
      </c>
      <c r="I30" s="40">
        <v>88.559999999999917</v>
      </c>
      <c r="J30" s="40">
        <v>113.4</v>
      </c>
      <c r="K30" s="40">
        <v>145.80000000000001</v>
      </c>
      <c r="L30" s="40">
        <v>196.56</v>
      </c>
      <c r="M30" s="40">
        <v>268.92</v>
      </c>
      <c r="N30" s="40">
        <v>328.32</v>
      </c>
      <c r="O30" s="40">
        <v>361.8</v>
      </c>
      <c r="P30" s="40">
        <v>401.76</v>
      </c>
      <c r="Q30" s="40">
        <v>407.16</v>
      </c>
      <c r="R30" s="30"/>
    </row>
    <row r="31" spans="1:18" ht="13.5" customHeight="1" x14ac:dyDescent="0.3">
      <c r="A31" s="38" t="s">
        <v>118</v>
      </c>
      <c r="B31" s="183">
        <v>140.4</v>
      </c>
      <c r="C31" s="183">
        <v>86.4</v>
      </c>
      <c r="D31" s="183">
        <v>54</v>
      </c>
      <c r="E31" s="183">
        <v>29.159999999999908</v>
      </c>
      <c r="F31" s="39">
        <v>0</v>
      </c>
      <c r="G31" s="40">
        <v>28.080000000000187</v>
      </c>
      <c r="H31" s="40">
        <v>68.040000000000106</v>
      </c>
      <c r="I31" s="40">
        <v>116.64</v>
      </c>
      <c r="J31" s="40">
        <v>141.47999999999999</v>
      </c>
      <c r="K31" s="40">
        <v>173.88</v>
      </c>
      <c r="L31" s="40">
        <v>224.64</v>
      </c>
      <c r="M31" s="40">
        <v>297</v>
      </c>
      <c r="N31" s="40">
        <v>356.4</v>
      </c>
      <c r="O31" s="40">
        <v>389.88</v>
      </c>
      <c r="P31" s="40">
        <v>429.84</v>
      </c>
      <c r="Q31" s="40">
        <v>435.24</v>
      </c>
      <c r="R31" s="30"/>
    </row>
    <row r="32" spans="1:18" ht="13.5" customHeight="1" x14ac:dyDescent="0.3">
      <c r="A32" s="41" t="s">
        <v>119</v>
      </c>
      <c r="B32" s="183">
        <v>130.68</v>
      </c>
      <c r="C32" s="183">
        <v>76.680000000000177</v>
      </c>
      <c r="D32" s="183">
        <v>44.280000000000186</v>
      </c>
      <c r="E32" s="183">
        <v>19.440000000000094</v>
      </c>
      <c r="F32" s="40">
        <v>9.7199999999998123</v>
      </c>
      <c r="G32" s="40">
        <v>37.799999999999997</v>
      </c>
      <c r="H32" s="40">
        <v>77.759999999999906</v>
      </c>
      <c r="I32" s="40">
        <v>126.36</v>
      </c>
      <c r="J32" s="40">
        <v>151.19999999999999</v>
      </c>
      <c r="K32" s="40">
        <v>183.6</v>
      </c>
      <c r="L32" s="40">
        <v>234.36</v>
      </c>
      <c r="M32" s="40">
        <v>306.72000000000003</v>
      </c>
      <c r="N32" s="40">
        <v>366.12</v>
      </c>
      <c r="O32" s="40">
        <v>399.6</v>
      </c>
      <c r="P32" s="40">
        <v>439.56</v>
      </c>
      <c r="Q32" s="40">
        <v>444.96</v>
      </c>
      <c r="R32" s="30"/>
    </row>
    <row r="33" spans="1:18" ht="13.5" customHeight="1" x14ac:dyDescent="0.3">
      <c r="A33" s="38" t="s">
        <v>86</v>
      </c>
      <c r="B33" s="183">
        <v>111.24</v>
      </c>
      <c r="C33" s="183">
        <v>57.240000000000094</v>
      </c>
      <c r="D33" s="183">
        <v>24.840000000000096</v>
      </c>
      <c r="E33" s="39">
        <v>0</v>
      </c>
      <c r="F33" s="40">
        <v>29.159999999999908</v>
      </c>
      <c r="G33" s="40">
        <v>57.240000000000094</v>
      </c>
      <c r="H33" s="40">
        <v>97.2</v>
      </c>
      <c r="I33" s="40">
        <v>145.80000000000001</v>
      </c>
      <c r="J33" s="40">
        <v>170.64</v>
      </c>
      <c r="K33" s="40">
        <v>203.04</v>
      </c>
      <c r="L33" s="40">
        <v>253.8</v>
      </c>
      <c r="M33" s="40">
        <v>326.16000000000003</v>
      </c>
      <c r="N33" s="40">
        <v>385.56</v>
      </c>
      <c r="O33" s="40">
        <v>419.04</v>
      </c>
      <c r="P33" s="40">
        <v>459</v>
      </c>
      <c r="Q33" s="40">
        <v>464.4</v>
      </c>
      <c r="R33" s="30"/>
    </row>
    <row r="34" spans="1:18" ht="13.5" customHeight="1" x14ac:dyDescent="0.3">
      <c r="A34" s="41" t="s">
        <v>120</v>
      </c>
      <c r="B34" s="183">
        <v>98.280000000000186</v>
      </c>
      <c r="C34" s="183">
        <v>44.280000000000186</v>
      </c>
      <c r="D34" s="183">
        <v>11.880000000000187</v>
      </c>
      <c r="E34" s="40">
        <v>12.959999999999907</v>
      </c>
      <c r="F34" s="40">
        <v>42.119999999999813</v>
      </c>
      <c r="G34" s="40">
        <v>70.2</v>
      </c>
      <c r="H34" s="40">
        <v>110.16</v>
      </c>
      <c r="I34" s="40">
        <v>158.76</v>
      </c>
      <c r="J34" s="40">
        <v>183.6</v>
      </c>
      <c r="K34" s="40">
        <v>216</v>
      </c>
      <c r="L34" s="40">
        <v>266.76</v>
      </c>
      <c r="M34" s="40">
        <v>339.12</v>
      </c>
      <c r="N34" s="40">
        <v>398.52</v>
      </c>
      <c r="O34" s="40">
        <v>432</v>
      </c>
      <c r="P34" s="40">
        <v>471.96</v>
      </c>
      <c r="Q34" s="40">
        <v>477.36</v>
      </c>
      <c r="R34" s="30"/>
    </row>
    <row r="35" spans="1:18" ht="13.5" customHeight="1" x14ac:dyDescent="0.3">
      <c r="A35" s="38" t="s">
        <v>121</v>
      </c>
      <c r="B35" s="183">
        <v>86.4</v>
      </c>
      <c r="C35" s="183">
        <v>32.4</v>
      </c>
      <c r="D35" s="39">
        <v>0</v>
      </c>
      <c r="E35" s="40">
        <v>24.840000000000096</v>
      </c>
      <c r="F35" s="40">
        <v>54</v>
      </c>
      <c r="G35" s="40">
        <v>82.080000000000183</v>
      </c>
      <c r="H35" s="40">
        <v>122.04</v>
      </c>
      <c r="I35" s="40">
        <v>170.64</v>
      </c>
      <c r="J35" s="40">
        <v>195.48</v>
      </c>
      <c r="K35" s="40">
        <v>227.88</v>
      </c>
      <c r="L35" s="40">
        <v>278.64</v>
      </c>
      <c r="M35" s="40">
        <v>351</v>
      </c>
      <c r="N35" s="40">
        <v>410.4</v>
      </c>
      <c r="O35" s="40">
        <v>443.88</v>
      </c>
      <c r="P35" s="40">
        <v>483.84</v>
      </c>
      <c r="Q35" s="40">
        <v>489.24</v>
      </c>
      <c r="R35" s="30"/>
    </row>
    <row r="36" spans="1:18" ht="13.5" customHeight="1" x14ac:dyDescent="0.3">
      <c r="A36" s="38" t="s">
        <v>84</v>
      </c>
      <c r="B36" s="183">
        <v>54</v>
      </c>
      <c r="C36" s="39">
        <v>0</v>
      </c>
      <c r="D36" s="40">
        <v>32.4</v>
      </c>
      <c r="E36" s="40">
        <v>57.240000000000094</v>
      </c>
      <c r="F36" s="40">
        <v>86.4</v>
      </c>
      <c r="G36" s="40">
        <v>114.48</v>
      </c>
      <c r="H36" s="40">
        <v>154.44</v>
      </c>
      <c r="I36" s="40">
        <v>203.04</v>
      </c>
      <c r="J36" s="40">
        <v>227.88</v>
      </c>
      <c r="K36" s="40">
        <v>260.27999999999997</v>
      </c>
      <c r="L36" s="40">
        <v>311.04000000000002</v>
      </c>
      <c r="M36" s="40">
        <v>383.4</v>
      </c>
      <c r="N36" s="40">
        <v>442.8</v>
      </c>
      <c r="O36" s="40">
        <v>476.28</v>
      </c>
      <c r="P36" s="40">
        <v>516.24</v>
      </c>
      <c r="Q36" s="40">
        <v>521.64</v>
      </c>
      <c r="R36" s="30"/>
    </row>
    <row r="37" spans="1:18" ht="13.5" customHeight="1" x14ac:dyDescent="0.3">
      <c r="A37" s="41" t="s">
        <v>122</v>
      </c>
      <c r="B37" s="183">
        <v>42.119999999999813</v>
      </c>
      <c r="C37" s="40">
        <v>11.880000000000187</v>
      </c>
      <c r="D37" s="40">
        <v>44.280000000000186</v>
      </c>
      <c r="E37" s="40">
        <v>69.120000000000289</v>
      </c>
      <c r="F37" s="40">
        <v>98.280000000000186</v>
      </c>
      <c r="G37" s="40">
        <v>126.36</v>
      </c>
      <c r="H37" s="40">
        <v>166.32</v>
      </c>
      <c r="I37" s="40">
        <v>214.92</v>
      </c>
      <c r="J37" s="40">
        <v>239.76</v>
      </c>
      <c r="K37" s="40">
        <v>272.16000000000003</v>
      </c>
      <c r="L37" s="40">
        <v>322.92</v>
      </c>
      <c r="M37" s="40">
        <v>395.28</v>
      </c>
      <c r="N37" s="40">
        <v>454.68</v>
      </c>
      <c r="O37" s="40">
        <v>488.16</v>
      </c>
      <c r="P37" s="40">
        <v>528.12</v>
      </c>
      <c r="Q37" s="40">
        <v>533.52</v>
      </c>
      <c r="R37" s="30"/>
    </row>
    <row r="38" spans="1:18" ht="13.5" customHeight="1" x14ac:dyDescent="0.3">
      <c r="A38" s="41" t="s">
        <v>123</v>
      </c>
      <c r="B38" s="183">
        <v>9.7199999999998123</v>
      </c>
      <c r="C38" s="40">
        <v>44.280000000000186</v>
      </c>
      <c r="D38" s="40">
        <v>76.680000000000177</v>
      </c>
      <c r="E38" s="40">
        <v>101.52</v>
      </c>
      <c r="F38" s="40">
        <v>130.68</v>
      </c>
      <c r="G38" s="40">
        <v>158.76</v>
      </c>
      <c r="H38" s="40">
        <v>198.72</v>
      </c>
      <c r="I38" s="40">
        <v>247.32</v>
      </c>
      <c r="J38" s="40">
        <v>272.16000000000003</v>
      </c>
      <c r="K38" s="40">
        <v>304.56</v>
      </c>
      <c r="L38" s="40">
        <v>355.32</v>
      </c>
      <c r="M38" s="40">
        <v>427.68</v>
      </c>
      <c r="N38" s="40">
        <v>487.08</v>
      </c>
      <c r="O38" s="40">
        <v>520.55999999999995</v>
      </c>
      <c r="P38" s="40">
        <v>560.52</v>
      </c>
      <c r="Q38" s="40">
        <v>565.91999999999996</v>
      </c>
      <c r="R38" s="38"/>
    </row>
    <row r="39" spans="1:18" ht="13.5" customHeight="1" x14ac:dyDescent="0.3">
      <c r="A39" s="38" t="s">
        <v>83</v>
      </c>
      <c r="B39" s="39">
        <v>0</v>
      </c>
      <c r="C39" s="40">
        <v>54</v>
      </c>
      <c r="D39" s="40">
        <v>86.4</v>
      </c>
      <c r="E39" s="40">
        <v>111.24</v>
      </c>
      <c r="F39" s="40">
        <v>140.4</v>
      </c>
      <c r="G39" s="40">
        <v>168.48</v>
      </c>
      <c r="H39" s="40">
        <v>208.44</v>
      </c>
      <c r="I39" s="40">
        <v>257.04000000000002</v>
      </c>
      <c r="J39" s="40">
        <v>281.88</v>
      </c>
      <c r="K39" s="40">
        <v>314.27999999999997</v>
      </c>
      <c r="L39" s="40">
        <v>365.04</v>
      </c>
      <c r="M39" s="40">
        <v>437.4</v>
      </c>
      <c r="N39" s="40">
        <v>496.8</v>
      </c>
      <c r="O39" s="40">
        <v>530.28</v>
      </c>
      <c r="P39" s="40">
        <v>570.24</v>
      </c>
      <c r="Q39" s="40">
        <v>575.64</v>
      </c>
      <c r="R39" s="38"/>
    </row>
    <row r="40" spans="1:18" ht="23" x14ac:dyDescent="0.5">
      <c r="A40" s="30"/>
      <c r="B40" s="31"/>
      <c r="C40" s="32"/>
      <c r="D40" s="32"/>
      <c r="E40" s="32"/>
      <c r="F40" s="32"/>
      <c r="G40" s="32"/>
      <c r="H40" s="32"/>
      <c r="I40" s="33" t="s">
        <v>124</v>
      </c>
      <c r="J40" s="32"/>
      <c r="K40" s="32"/>
      <c r="L40" s="30"/>
      <c r="M40" s="30"/>
      <c r="N40" s="30"/>
      <c r="O40" s="30"/>
      <c r="P40" s="30"/>
      <c r="Q40" s="30"/>
      <c r="R40" s="30"/>
    </row>
    <row r="41" spans="1:18" x14ac:dyDescent="0.2">
      <c r="A41" s="30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0"/>
      <c r="M41" s="30"/>
      <c r="N41" s="30" t="s">
        <v>125</v>
      </c>
      <c r="O41" s="30"/>
      <c r="P41" s="30"/>
      <c r="Q41" s="182">
        <v>12</v>
      </c>
      <c r="R41" s="30"/>
    </row>
    <row r="42" spans="1:18" ht="15.5" x14ac:dyDescent="0.35">
      <c r="A42" s="32"/>
      <c r="B42" s="31"/>
      <c r="C42" s="32"/>
      <c r="D42" s="32"/>
      <c r="E42" s="32"/>
      <c r="F42" s="32"/>
      <c r="G42" s="32"/>
      <c r="H42" s="32"/>
      <c r="I42" s="35" t="str">
        <f>" Time (hours) from Port of Departure to Destination Port or Reporting Position at "&amp;$Q$41 &amp;" Knots"</f>
        <v xml:space="preserve"> Time (hours) from Port of Departure to Destination Port or Reporting Position at 12 Knots</v>
      </c>
      <c r="J42" s="32"/>
      <c r="K42" s="32"/>
      <c r="L42" s="30"/>
      <c r="M42" s="30"/>
      <c r="N42" s="30"/>
      <c r="O42" s="30"/>
      <c r="P42" s="30"/>
      <c r="Q42" s="42"/>
      <c r="R42" s="30"/>
    </row>
    <row r="43" spans="1:18" ht="10.5" x14ac:dyDescent="0.25">
      <c r="A43" s="32"/>
      <c r="B43" s="43" t="s">
        <v>83</v>
      </c>
      <c r="C43" s="43" t="s">
        <v>84</v>
      </c>
      <c r="D43" s="43" t="s">
        <v>121</v>
      </c>
      <c r="E43" s="43" t="s">
        <v>86</v>
      </c>
      <c r="F43" s="43" t="s">
        <v>118</v>
      </c>
      <c r="G43" s="43" t="s">
        <v>88</v>
      </c>
      <c r="H43" s="43" t="s">
        <v>89</v>
      </c>
      <c r="I43" s="43" t="s">
        <v>90</v>
      </c>
      <c r="J43" s="43" t="s">
        <v>91</v>
      </c>
      <c r="K43" s="43" t="s">
        <v>111</v>
      </c>
      <c r="L43" s="43" t="s">
        <v>108</v>
      </c>
      <c r="M43" s="43" t="s">
        <v>106</v>
      </c>
      <c r="N43" s="43" t="s">
        <v>103</v>
      </c>
      <c r="O43" s="43" t="s">
        <v>96</v>
      </c>
      <c r="P43" s="43" t="s">
        <v>97</v>
      </c>
      <c r="Q43" s="43" t="s">
        <v>98</v>
      </c>
      <c r="R43" s="30"/>
    </row>
    <row r="44" spans="1:18" ht="13" x14ac:dyDescent="0.3">
      <c r="A44" s="37" t="s">
        <v>99</v>
      </c>
      <c r="B44" s="181">
        <f>B5/$Q$41</f>
        <v>49.02</v>
      </c>
      <c r="C44" s="181">
        <f t="shared" ref="C44:Q44" si="0">C5/$Q$41</f>
        <v>44.52</v>
      </c>
      <c r="D44" s="181">
        <f t="shared" si="0"/>
        <v>41.82</v>
      </c>
      <c r="E44" s="181">
        <f t="shared" si="0"/>
        <v>39.75</v>
      </c>
      <c r="F44" s="181">
        <f t="shared" si="0"/>
        <v>37.32</v>
      </c>
      <c r="G44" s="181">
        <f t="shared" si="0"/>
        <v>34.979999999999997</v>
      </c>
      <c r="H44" s="181">
        <f t="shared" si="0"/>
        <v>31.650000000000002</v>
      </c>
      <c r="I44" s="181">
        <f t="shared" si="0"/>
        <v>27.599999999999998</v>
      </c>
      <c r="J44" s="181">
        <f t="shared" si="0"/>
        <v>25.53</v>
      </c>
      <c r="K44" s="181">
        <f t="shared" si="0"/>
        <v>22.83</v>
      </c>
      <c r="L44" s="181">
        <f t="shared" si="0"/>
        <v>18.599999999999998</v>
      </c>
      <c r="M44" s="181">
        <f t="shared" si="0"/>
        <v>12.57</v>
      </c>
      <c r="N44" s="181">
        <f t="shared" si="0"/>
        <v>7.6199999999999877</v>
      </c>
      <c r="O44" s="181">
        <f t="shared" si="0"/>
        <v>4.8300000000000116</v>
      </c>
      <c r="P44" s="181">
        <f t="shared" si="0"/>
        <v>1.4999999999999807</v>
      </c>
      <c r="Q44" s="181">
        <f t="shared" si="0"/>
        <v>1.0499999999999805</v>
      </c>
      <c r="R44" s="30"/>
    </row>
    <row r="45" spans="1:18" ht="13" x14ac:dyDescent="0.3">
      <c r="A45" s="38" t="s">
        <v>98</v>
      </c>
      <c r="B45" s="181">
        <f t="shared" ref="B45:Q60" si="1">B6/$Q$41</f>
        <v>47.97</v>
      </c>
      <c r="C45" s="181">
        <f t="shared" si="1"/>
        <v>43.47</v>
      </c>
      <c r="D45" s="181">
        <f t="shared" si="1"/>
        <v>40.770000000000003</v>
      </c>
      <c r="E45" s="181">
        <f t="shared" si="1"/>
        <v>38.699999999999996</v>
      </c>
      <c r="F45" s="181">
        <f t="shared" si="1"/>
        <v>36.270000000000003</v>
      </c>
      <c r="G45" s="181">
        <f t="shared" si="1"/>
        <v>33.93</v>
      </c>
      <c r="H45" s="181">
        <f t="shared" si="1"/>
        <v>30.599999999999998</v>
      </c>
      <c r="I45" s="181">
        <f t="shared" si="1"/>
        <v>26.55</v>
      </c>
      <c r="J45" s="181">
        <f t="shared" si="1"/>
        <v>24.48</v>
      </c>
      <c r="K45" s="181">
        <f t="shared" si="1"/>
        <v>21.78</v>
      </c>
      <c r="L45" s="181">
        <f t="shared" si="1"/>
        <v>17.55</v>
      </c>
      <c r="M45" s="181">
        <f t="shared" si="1"/>
        <v>11.520000000000001</v>
      </c>
      <c r="N45" s="181">
        <f t="shared" si="1"/>
        <v>6.5700000000000083</v>
      </c>
      <c r="O45" s="181">
        <f t="shared" si="1"/>
        <v>3.7800000000000313</v>
      </c>
      <c r="P45" s="181">
        <f t="shared" si="1"/>
        <v>0.45</v>
      </c>
      <c r="Q45" s="45">
        <f t="shared" si="1"/>
        <v>0</v>
      </c>
      <c r="R45" s="30"/>
    </row>
    <row r="46" spans="1:18" ht="13" x14ac:dyDescent="0.3">
      <c r="A46" s="38" t="s">
        <v>97</v>
      </c>
      <c r="B46" s="181">
        <f t="shared" si="1"/>
        <v>47.52</v>
      </c>
      <c r="C46" s="181">
        <f t="shared" si="1"/>
        <v>43.02</v>
      </c>
      <c r="D46" s="181">
        <f t="shared" si="1"/>
        <v>40.32</v>
      </c>
      <c r="E46" s="181">
        <f t="shared" si="1"/>
        <v>38.25</v>
      </c>
      <c r="F46" s="181">
        <f t="shared" si="1"/>
        <v>35.82</v>
      </c>
      <c r="G46" s="181">
        <f t="shared" si="1"/>
        <v>33.479999999999997</v>
      </c>
      <c r="H46" s="181">
        <f t="shared" si="1"/>
        <v>30.150000000000002</v>
      </c>
      <c r="I46" s="181">
        <f t="shared" si="1"/>
        <v>26.099999999999998</v>
      </c>
      <c r="J46" s="181">
        <f t="shared" si="1"/>
        <v>24.03</v>
      </c>
      <c r="K46" s="181">
        <f t="shared" si="1"/>
        <v>21.330000000000002</v>
      </c>
      <c r="L46" s="181">
        <f t="shared" si="1"/>
        <v>17.099999999999998</v>
      </c>
      <c r="M46" s="181">
        <f t="shared" si="1"/>
        <v>11.07</v>
      </c>
      <c r="N46" s="181">
        <f t="shared" si="1"/>
        <v>6.1200000000000081</v>
      </c>
      <c r="O46" s="181">
        <f t="shared" si="1"/>
        <v>3.3300000000000316</v>
      </c>
      <c r="P46" s="45">
        <f t="shared" si="1"/>
        <v>0</v>
      </c>
      <c r="Q46" s="46">
        <f t="shared" si="1"/>
        <v>0.45</v>
      </c>
      <c r="R46" s="30"/>
    </row>
    <row r="47" spans="1:18" ht="13" x14ac:dyDescent="0.3">
      <c r="A47" s="41" t="s">
        <v>100</v>
      </c>
      <c r="B47" s="181">
        <f t="shared" si="1"/>
        <v>46.054285714285719</v>
      </c>
      <c r="C47" s="181">
        <f t="shared" si="1"/>
        <v>41.554285714285719</v>
      </c>
      <c r="D47" s="181">
        <f t="shared" si="1"/>
        <v>38.854285714285716</v>
      </c>
      <c r="E47" s="181">
        <f t="shared" si="1"/>
        <v>36.784285714285716</v>
      </c>
      <c r="F47" s="181">
        <f t="shared" si="1"/>
        <v>34.354285714285716</v>
      </c>
      <c r="G47" s="181">
        <f t="shared" si="1"/>
        <v>32.014285714285712</v>
      </c>
      <c r="H47" s="181">
        <f t="shared" si="1"/>
        <v>28.684285714285718</v>
      </c>
      <c r="I47" s="181">
        <f t="shared" si="1"/>
        <v>24.634285714285713</v>
      </c>
      <c r="J47" s="181">
        <f t="shared" si="1"/>
        <v>22.564285714285713</v>
      </c>
      <c r="K47" s="181">
        <f t="shared" si="1"/>
        <v>19.864285714285717</v>
      </c>
      <c r="L47" s="181">
        <f t="shared" si="1"/>
        <v>15.634285714285715</v>
      </c>
      <c r="M47" s="181">
        <f t="shared" si="1"/>
        <v>9.6042857142857141</v>
      </c>
      <c r="N47" s="181">
        <f t="shared" si="1"/>
        <v>4.6542857142856908</v>
      </c>
      <c r="O47" s="181">
        <f t="shared" si="1"/>
        <v>1.8642857142857145</v>
      </c>
      <c r="P47" s="46">
        <f t="shared" si="1"/>
        <v>1.4657142857143171</v>
      </c>
      <c r="Q47" s="46">
        <f t="shared" si="1"/>
        <v>1.9157142857143172</v>
      </c>
      <c r="R47" s="30"/>
    </row>
    <row r="48" spans="1:18" ht="13" x14ac:dyDescent="0.3">
      <c r="A48" s="41" t="s">
        <v>101</v>
      </c>
      <c r="B48" s="181">
        <f t="shared" si="1"/>
        <v>45.54</v>
      </c>
      <c r="C48" s="181">
        <f t="shared" si="1"/>
        <v>41.04</v>
      </c>
      <c r="D48" s="181">
        <f t="shared" si="1"/>
        <v>38.339999999999996</v>
      </c>
      <c r="E48" s="181">
        <f t="shared" si="1"/>
        <v>36.270000000000003</v>
      </c>
      <c r="F48" s="181">
        <f t="shared" si="1"/>
        <v>33.839999999999996</v>
      </c>
      <c r="G48" s="181">
        <f t="shared" si="1"/>
        <v>31.5</v>
      </c>
      <c r="H48" s="181">
        <f t="shared" si="1"/>
        <v>28.17</v>
      </c>
      <c r="I48" s="181">
        <f t="shared" si="1"/>
        <v>24.12</v>
      </c>
      <c r="J48" s="181">
        <f t="shared" si="1"/>
        <v>22.05</v>
      </c>
      <c r="K48" s="181">
        <f t="shared" si="1"/>
        <v>19.349999999999998</v>
      </c>
      <c r="L48" s="181">
        <f t="shared" si="1"/>
        <v>15.12</v>
      </c>
      <c r="M48" s="181">
        <f t="shared" si="1"/>
        <v>9.09</v>
      </c>
      <c r="N48" s="181">
        <f t="shared" si="1"/>
        <v>4.1399999999999766</v>
      </c>
      <c r="O48" s="181">
        <f t="shared" si="1"/>
        <v>1.3499999999999999</v>
      </c>
      <c r="P48" s="46">
        <f t="shared" si="1"/>
        <v>1.9800000000000313</v>
      </c>
      <c r="Q48" s="46">
        <f t="shared" si="1"/>
        <v>2.4300000000000312</v>
      </c>
      <c r="R48" s="30"/>
    </row>
    <row r="49" spans="1:18" ht="13" x14ac:dyDescent="0.3">
      <c r="A49" s="38" t="s">
        <v>96</v>
      </c>
      <c r="B49" s="181">
        <f t="shared" si="1"/>
        <v>44.19</v>
      </c>
      <c r="C49" s="181">
        <f t="shared" si="1"/>
        <v>39.69</v>
      </c>
      <c r="D49" s="181">
        <f t="shared" si="1"/>
        <v>36.99</v>
      </c>
      <c r="E49" s="181">
        <f t="shared" si="1"/>
        <v>34.92</v>
      </c>
      <c r="F49" s="181">
        <f t="shared" si="1"/>
        <v>32.49</v>
      </c>
      <c r="G49" s="181">
        <f t="shared" si="1"/>
        <v>30.150000000000002</v>
      </c>
      <c r="H49" s="181">
        <f t="shared" si="1"/>
        <v>26.819999999999997</v>
      </c>
      <c r="I49" s="181">
        <f t="shared" si="1"/>
        <v>22.77</v>
      </c>
      <c r="J49" s="181">
        <f t="shared" si="1"/>
        <v>20.7</v>
      </c>
      <c r="K49" s="181">
        <f t="shared" si="1"/>
        <v>18</v>
      </c>
      <c r="L49" s="181">
        <f t="shared" si="1"/>
        <v>13.770000000000001</v>
      </c>
      <c r="M49" s="181">
        <f t="shared" si="1"/>
        <v>7.7399999999999771</v>
      </c>
      <c r="N49" s="181">
        <f t="shared" si="1"/>
        <v>2.7899999999999765</v>
      </c>
      <c r="O49" s="45">
        <f t="shared" si="1"/>
        <v>0</v>
      </c>
      <c r="P49" s="46">
        <f t="shared" si="1"/>
        <v>3.3300000000000316</v>
      </c>
      <c r="Q49" s="46">
        <f t="shared" si="1"/>
        <v>3.7800000000000313</v>
      </c>
      <c r="R49" s="30"/>
    </row>
    <row r="50" spans="1:18" ht="13" x14ac:dyDescent="0.3">
      <c r="A50" s="41" t="s">
        <v>102</v>
      </c>
      <c r="B50" s="181">
        <f t="shared" si="1"/>
        <v>42.75</v>
      </c>
      <c r="C50" s="181">
        <f t="shared" si="1"/>
        <v>38.25</v>
      </c>
      <c r="D50" s="181">
        <f t="shared" si="1"/>
        <v>35.550000000000004</v>
      </c>
      <c r="E50" s="181">
        <f t="shared" si="1"/>
        <v>33.479999999999997</v>
      </c>
      <c r="F50" s="181">
        <f t="shared" si="1"/>
        <v>31.05</v>
      </c>
      <c r="G50" s="181">
        <f t="shared" si="1"/>
        <v>28.709999999999997</v>
      </c>
      <c r="H50" s="181">
        <f t="shared" si="1"/>
        <v>25.38</v>
      </c>
      <c r="I50" s="181">
        <f t="shared" si="1"/>
        <v>21.330000000000002</v>
      </c>
      <c r="J50" s="181">
        <f t="shared" si="1"/>
        <v>19.260000000000002</v>
      </c>
      <c r="K50" s="181">
        <f t="shared" si="1"/>
        <v>16.559999999999999</v>
      </c>
      <c r="L50" s="181">
        <f t="shared" si="1"/>
        <v>12.33</v>
      </c>
      <c r="M50" s="181">
        <f t="shared" si="1"/>
        <v>6.3</v>
      </c>
      <c r="N50" s="181">
        <f t="shared" si="1"/>
        <v>1.3499999999999999</v>
      </c>
      <c r="O50" s="46">
        <f t="shared" si="1"/>
        <v>1.4399999999999766</v>
      </c>
      <c r="P50" s="46">
        <f t="shared" si="1"/>
        <v>4.7700000000000076</v>
      </c>
      <c r="Q50" s="46">
        <f t="shared" si="1"/>
        <v>5.2200000000000086</v>
      </c>
      <c r="R50" s="30"/>
    </row>
    <row r="51" spans="1:18" ht="13" x14ac:dyDescent="0.3">
      <c r="A51" s="38" t="s">
        <v>103</v>
      </c>
      <c r="B51" s="181">
        <f t="shared" si="1"/>
        <v>41.4</v>
      </c>
      <c r="C51" s="181">
        <f t="shared" si="1"/>
        <v>36.9</v>
      </c>
      <c r="D51" s="181">
        <f t="shared" si="1"/>
        <v>34.199999999999996</v>
      </c>
      <c r="E51" s="181">
        <f t="shared" si="1"/>
        <v>32.130000000000003</v>
      </c>
      <c r="F51" s="181">
        <f t="shared" si="1"/>
        <v>29.7</v>
      </c>
      <c r="G51" s="181">
        <f t="shared" si="1"/>
        <v>27.36</v>
      </c>
      <c r="H51" s="181">
        <f t="shared" si="1"/>
        <v>24.03</v>
      </c>
      <c r="I51" s="181">
        <f t="shared" si="1"/>
        <v>19.98</v>
      </c>
      <c r="J51" s="181">
        <f t="shared" si="1"/>
        <v>17.91</v>
      </c>
      <c r="K51" s="181">
        <f t="shared" si="1"/>
        <v>15.21</v>
      </c>
      <c r="L51" s="181">
        <f t="shared" si="1"/>
        <v>10.979999999999999</v>
      </c>
      <c r="M51" s="181">
        <f t="shared" si="1"/>
        <v>4.95</v>
      </c>
      <c r="N51" s="45">
        <f t="shared" si="1"/>
        <v>0</v>
      </c>
      <c r="O51" s="46">
        <f t="shared" si="1"/>
        <v>2.7899999999999765</v>
      </c>
      <c r="P51" s="46">
        <f t="shared" si="1"/>
        <v>6.1200000000000081</v>
      </c>
      <c r="Q51" s="46">
        <f t="shared" si="1"/>
        <v>6.5700000000000083</v>
      </c>
      <c r="R51" s="30"/>
    </row>
    <row r="52" spans="1:18" ht="13" x14ac:dyDescent="0.3">
      <c r="A52" s="41" t="s">
        <v>104</v>
      </c>
      <c r="B52" s="181">
        <f t="shared" si="1"/>
        <v>38.79</v>
      </c>
      <c r="C52" s="181">
        <f t="shared" si="1"/>
        <v>34.29</v>
      </c>
      <c r="D52" s="181">
        <f t="shared" si="1"/>
        <v>31.59</v>
      </c>
      <c r="E52" s="181">
        <f t="shared" si="1"/>
        <v>29.52</v>
      </c>
      <c r="F52" s="181">
        <f t="shared" si="1"/>
        <v>27.09</v>
      </c>
      <c r="G52" s="181">
        <f t="shared" si="1"/>
        <v>24.75</v>
      </c>
      <c r="H52" s="181">
        <f t="shared" si="1"/>
        <v>21.42</v>
      </c>
      <c r="I52" s="181">
        <f t="shared" si="1"/>
        <v>17.37</v>
      </c>
      <c r="J52" s="181">
        <f t="shared" si="1"/>
        <v>15.299999999999999</v>
      </c>
      <c r="K52" s="181">
        <f t="shared" si="1"/>
        <v>12.6</v>
      </c>
      <c r="L52" s="181">
        <f t="shared" si="1"/>
        <v>8.3699999999999992</v>
      </c>
      <c r="M52" s="181">
        <f t="shared" si="1"/>
        <v>2.3399999999999768</v>
      </c>
      <c r="N52" s="46">
        <f t="shared" si="1"/>
        <v>2.610000000000023</v>
      </c>
      <c r="O52" s="46">
        <f t="shared" si="1"/>
        <v>5.3999999999999995</v>
      </c>
      <c r="P52" s="46">
        <f t="shared" si="1"/>
        <v>8.73</v>
      </c>
      <c r="Q52" s="46">
        <f t="shared" si="1"/>
        <v>9.18</v>
      </c>
      <c r="R52" s="30"/>
    </row>
    <row r="53" spans="1:18" ht="13" x14ac:dyDescent="0.3">
      <c r="A53" s="41" t="s">
        <v>105</v>
      </c>
      <c r="B53" s="181">
        <f t="shared" si="1"/>
        <v>37.53</v>
      </c>
      <c r="C53" s="181">
        <f t="shared" si="1"/>
        <v>33.03</v>
      </c>
      <c r="D53" s="181">
        <f t="shared" si="1"/>
        <v>30.33</v>
      </c>
      <c r="E53" s="181">
        <f t="shared" si="1"/>
        <v>28.26</v>
      </c>
      <c r="F53" s="181">
        <f t="shared" si="1"/>
        <v>25.83</v>
      </c>
      <c r="G53" s="181">
        <f t="shared" si="1"/>
        <v>23.49</v>
      </c>
      <c r="H53" s="181">
        <f t="shared" si="1"/>
        <v>20.16</v>
      </c>
      <c r="I53" s="181">
        <f t="shared" si="1"/>
        <v>16.11</v>
      </c>
      <c r="J53" s="181">
        <f t="shared" si="1"/>
        <v>14.04</v>
      </c>
      <c r="K53" s="181">
        <f t="shared" si="1"/>
        <v>11.340000000000002</v>
      </c>
      <c r="L53" s="181">
        <f t="shared" si="1"/>
        <v>7.1099999999999852</v>
      </c>
      <c r="M53" s="181">
        <f t="shared" si="1"/>
        <v>1.0799999999999923</v>
      </c>
      <c r="N53" s="46">
        <f t="shared" si="1"/>
        <v>3.8700000000000077</v>
      </c>
      <c r="O53" s="46">
        <f t="shared" si="1"/>
        <v>6.659999999999985</v>
      </c>
      <c r="P53" s="46">
        <f t="shared" si="1"/>
        <v>9.99</v>
      </c>
      <c r="Q53" s="46">
        <f t="shared" si="1"/>
        <v>10.44</v>
      </c>
      <c r="R53" s="30"/>
    </row>
    <row r="54" spans="1:18" ht="13" x14ac:dyDescent="0.3">
      <c r="A54" s="38" t="s">
        <v>106</v>
      </c>
      <c r="B54" s="181">
        <f t="shared" si="1"/>
        <v>36.449999999999996</v>
      </c>
      <c r="C54" s="181">
        <f t="shared" si="1"/>
        <v>31.95</v>
      </c>
      <c r="D54" s="181">
        <f t="shared" si="1"/>
        <v>29.25</v>
      </c>
      <c r="E54" s="181">
        <f t="shared" si="1"/>
        <v>27.180000000000003</v>
      </c>
      <c r="F54" s="181">
        <f t="shared" si="1"/>
        <v>24.75</v>
      </c>
      <c r="G54" s="181">
        <f t="shared" si="1"/>
        <v>22.41</v>
      </c>
      <c r="H54" s="181">
        <f t="shared" si="1"/>
        <v>19.080000000000002</v>
      </c>
      <c r="I54" s="181">
        <f t="shared" si="1"/>
        <v>15.030000000000001</v>
      </c>
      <c r="J54" s="181">
        <f t="shared" si="1"/>
        <v>12.96</v>
      </c>
      <c r="K54" s="181">
        <f t="shared" si="1"/>
        <v>10.26</v>
      </c>
      <c r="L54" s="181">
        <f t="shared" si="1"/>
        <v>6.0299999999999931</v>
      </c>
      <c r="M54" s="45">
        <f t="shared" si="1"/>
        <v>0</v>
      </c>
      <c r="N54" s="46">
        <f t="shared" si="1"/>
        <v>4.95</v>
      </c>
      <c r="O54" s="46">
        <f t="shared" si="1"/>
        <v>7.7399999999999771</v>
      </c>
      <c r="P54" s="46">
        <f t="shared" si="1"/>
        <v>11.07</v>
      </c>
      <c r="Q54" s="46">
        <f t="shared" si="1"/>
        <v>11.520000000000001</v>
      </c>
      <c r="R54" s="30"/>
    </row>
    <row r="55" spans="1:18" ht="13" x14ac:dyDescent="0.3">
      <c r="A55" s="38" t="s">
        <v>107</v>
      </c>
      <c r="B55" s="181">
        <f t="shared" si="1"/>
        <v>33.479999999999997</v>
      </c>
      <c r="C55" s="181">
        <f t="shared" si="1"/>
        <v>28.98</v>
      </c>
      <c r="D55" s="181">
        <f t="shared" si="1"/>
        <v>26.28</v>
      </c>
      <c r="E55" s="181">
        <f t="shared" si="1"/>
        <v>24.209999999999997</v>
      </c>
      <c r="F55" s="181">
        <f t="shared" si="1"/>
        <v>21.78</v>
      </c>
      <c r="G55" s="181">
        <f t="shared" si="1"/>
        <v>19.440000000000001</v>
      </c>
      <c r="H55" s="181">
        <f t="shared" si="1"/>
        <v>16.11</v>
      </c>
      <c r="I55" s="181">
        <f t="shared" si="1"/>
        <v>12.06</v>
      </c>
      <c r="J55" s="181">
        <f t="shared" si="1"/>
        <v>9.99</v>
      </c>
      <c r="K55" s="181">
        <f t="shared" si="1"/>
        <v>7.290000000000016</v>
      </c>
      <c r="L55" s="181">
        <f t="shared" si="1"/>
        <v>3.0599999999999845</v>
      </c>
      <c r="M55" s="46">
        <f t="shared" si="1"/>
        <v>2.9700000000000082</v>
      </c>
      <c r="N55" s="46">
        <f t="shared" si="1"/>
        <v>7.9200000000000079</v>
      </c>
      <c r="O55" s="46">
        <f t="shared" si="1"/>
        <v>10.71</v>
      </c>
      <c r="P55" s="46">
        <f t="shared" si="1"/>
        <v>14.04</v>
      </c>
      <c r="Q55" s="46">
        <f t="shared" si="1"/>
        <v>14.49</v>
      </c>
      <c r="R55" s="30"/>
    </row>
    <row r="56" spans="1:18" ht="13" x14ac:dyDescent="0.3">
      <c r="A56" s="38" t="s">
        <v>108</v>
      </c>
      <c r="B56" s="181">
        <f t="shared" si="1"/>
        <v>30.42</v>
      </c>
      <c r="C56" s="181">
        <f t="shared" si="1"/>
        <v>25.92</v>
      </c>
      <c r="D56" s="181">
        <f t="shared" si="1"/>
        <v>23.22</v>
      </c>
      <c r="E56" s="181">
        <f t="shared" si="1"/>
        <v>21.150000000000002</v>
      </c>
      <c r="F56" s="181">
        <f t="shared" si="1"/>
        <v>18.72</v>
      </c>
      <c r="G56" s="181">
        <f t="shared" si="1"/>
        <v>16.38</v>
      </c>
      <c r="H56" s="181">
        <f t="shared" si="1"/>
        <v>13.049999999999999</v>
      </c>
      <c r="I56" s="181">
        <f t="shared" si="1"/>
        <v>9</v>
      </c>
      <c r="J56" s="181">
        <f t="shared" si="1"/>
        <v>6.9300000000000317</v>
      </c>
      <c r="K56" s="181">
        <f t="shared" si="1"/>
        <v>4.2300000000000315</v>
      </c>
      <c r="L56" s="45">
        <f t="shared" si="1"/>
        <v>0</v>
      </c>
      <c r="M56" s="46">
        <f t="shared" si="1"/>
        <v>6.0299999999999931</v>
      </c>
      <c r="N56" s="46">
        <f t="shared" si="1"/>
        <v>10.979999999999999</v>
      </c>
      <c r="O56" s="46">
        <f t="shared" si="1"/>
        <v>13.770000000000001</v>
      </c>
      <c r="P56" s="46">
        <f t="shared" si="1"/>
        <v>17.099999999999998</v>
      </c>
      <c r="Q56" s="46">
        <f t="shared" si="1"/>
        <v>17.55</v>
      </c>
      <c r="R56" s="30"/>
    </row>
    <row r="57" spans="1:18" ht="13" x14ac:dyDescent="0.3">
      <c r="A57" s="41" t="s">
        <v>109</v>
      </c>
      <c r="B57" s="181">
        <f t="shared" si="1"/>
        <v>29.16</v>
      </c>
      <c r="C57" s="181">
        <f t="shared" si="1"/>
        <v>24.66</v>
      </c>
      <c r="D57" s="181">
        <f t="shared" si="1"/>
        <v>21.959999999999997</v>
      </c>
      <c r="E57" s="181">
        <f t="shared" si="1"/>
        <v>19.89</v>
      </c>
      <c r="F57" s="181">
        <f t="shared" si="1"/>
        <v>17.46</v>
      </c>
      <c r="G57" s="181">
        <f t="shared" si="1"/>
        <v>15.12</v>
      </c>
      <c r="H57" s="181">
        <f t="shared" si="1"/>
        <v>11.79</v>
      </c>
      <c r="I57" s="181">
        <f t="shared" si="1"/>
        <v>7.7400000000000153</v>
      </c>
      <c r="J57" s="181">
        <f t="shared" si="1"/>
        <v>5.670000000000047</v>
      </c>
      <c r="K57" s="181">
        <f t="shared" si="1"/>
        <v>2.9700000000000468</v>
      </c>
      <c r="L57" s="46">
        <f t="shared" si="1"/>
        <v>1.2599999999999845</v>
      </c>
      <c r="M57" s="46">
        <f t="shared" si="1"/>
        <v>7.2899999999999769</v>
      </c>
      <c r="N57" s="46">
        <f t="shared" si="1"/>
        <v>12.24</v>
      </c>
      <c r="O57" s="46">
        <f t="shared" si="1"/>
        <v>15.029999999999953</v>
      </c>
      <c r="P57" s="46">
        <f t="shared" si="1"/>
        <v>18.36</v>
      </c>
      <c r="Q57" s="46">
        <f t="shared" si="1"/>
        <v>18.809999999999999</v>
      </c>
      <c r="R57" s="30"/>
    </row>
    <row r="58" spans="1:18" ht="13" x14ac:dyDescent="0.3">
      <c r="A58" s="41" t="s">
        <v>110</v>
      </c>
      <c r="B58" s="181">
        <f t="shared" si="1"/>
        <v>28.17</v>
      </c>
      <c r="C58" s="181">
        <f t="shared" si="1"/>
        <v>23.67</v>
      </c>
      <c r="D58" s="181">
        <f t="shared" si="1"/>
        <v>20.97</v>
      </c>
      <c r="E58" s="181">
        <f t="shared" si="1"/>
        <v>18.900000000000002</v>
      </c>
      <c r="F58" s="181">
        <f t="shared" si="1"/>
        <v>16.47</v>
      </c>
      <c r="G58" s="181">
        <f t="shared" si="1"/>
        <v>14.13</v>
      </c>
      <c r="H58" s="181">
        <f t="shared" si="1"/>
        <v>10.799999999999999</v>
      </c>
      <c r="I58" s="181">
        <f t="shared" si="1"/>
        <v>6.75</v>
      </c>
      <c r="J58" s="181">
        <f t="shared" si="1"/>
        <v>4.6800000000000308</v>
      </c>
      <c r="K58" s="181">
        <f t="shared" si="1"/>
        <v>1.9800000000000313</v>
      </c>
      <c r="L58" s="46">
        <f t="shared" si="1"/>
        <v>2.25</v>
      </c>
      <c r="M58" s="46">
        <f t="shared" si="1"/>
        <v>8.2799999999999923</v>
      </c>
      <c r="N58" s="46">
        <f t="shared" si="1"/>
        <v>13.229999999999999</v>
      </c>
      <c r="O58" s="46">
        <f t="shared" si="1"/>
        <v>16.02</v>
      </c>
      <c r="P58" s="46">
        <f t="shared" si="1"/>
        <v>19.349999999999998</v>
      </c>
      <c r="Q58" s="46">
        <f t="shared" si="1"/>
        <v>19.8</v>
      </c>
      <c r="R58" s="30"/>
    </row>
    <row r="59" spans="1:18" ht="13" x14ac:dyDescent="0.3">
      <c r="A59" s="38" t="s">
        <v>111</v>
      </c>
      <c r="B59" s="181">
        <f t="shared" si="1"/>
        <v>26.189999999999998</v>
      </c>
      <c r="C59" s="181">
        <f t="shared" si="1"/>
        <v>21.689999999999998</v>
      </c>
      <c r="D59" s="181">
        <f t="shared" si="1"/>
        <v>18.989999999999998</v>
      </c>
      <c r="E59" s="181">
        <f t="shared" si="1"/>
        <v>16.919999999999998</v>
      </c>
      <c r="F59" s="181">
        <f t="shared" si="1"/>
        <v>14.49</v>
      </c>
      <c r="G59" s="181">
        <f t="shared" si="1"/>
        <v>12.15</v>
      </c>
      <c r="H59" s="181">
        <f t="shared" si="1"/>
        <v>8.82</v>
      </c>
      <c r="I59" s="181">
        <f t="shared" si="1"/>
        <v>4.7699999999999694</v>
      </c>
      <c r="J59" s="181">
        <f t="shared" si="1"/>
        <v>2.6999999999999997</v>
      </c>
      <c r="K59" s="45">
        <f t="shared" si="1"/>
        <v>0</v>
      </c>
      <c r="L59" s="46">
        <f t="shared" si="1"/>
        <v>4.2300000000000315</v>
      </c>
      <c r="M59" s="46">
        <f t="shared" si="1"/>
        <v>10.26</v>
      </c>
      <c r="N59" s="46">
        <f t="shared" si="1"/>
        <v>15.21</v>
      </c>
      <c r="O59" s="46">
        <f t="shared" si="1"/>
        <v>18</v>
      </c>
      <c r="P59" s="46">
        <f t="shared" si="1"/>
        <v>21.330000000000002</v>
      </c>
      <c r="Q59" s="46">
        <f t="shared" si="1"/>
        <v>21.78</v>
      </c>
      <c r="R59" s="30"/>
    </row>
    <row r="60" spans="1:18" ht="13" x14ac:dyDescent="0.3">
      <c r="A60" s="38" t="s">
        <v>91</v>
      </c>
      <c r="B60" s="181">
        <f t="shared" si="1"/>
        <v>23.49</v>
      </c>
      <c r="C60" s="181">
        <f t="shared" si="1"/>
        <v>18.989999999999998</v>
      </c>
      <c r="D60" s="181">
        <f t="shared" si="1"/>
        <v>16.29</v>
      </c>
      <c r="E60" s="181">
        <f t="shared" si="1"/>
        <v>14.219999999999999</v>
      </c>
      <c r="F60" s="181">
        <f t="shared" si="1"/>
        <v>11.79</v>
      </c>
      <c r="G60" s="181">
        <f t="shared" si="1"/>
        <v>9.4500000000000011</v>
      </c>
      <c r="H60" s="181">
        <f t="shared" si="1"/>
        <v>6.119999999999969</v>
      </c>
      <c r="I60" s="181">
        <f t="shared" si="1"/>
        <v>2.0699999999999688</v>
      </c>
      <c r="J60" s="45">
        <f t="shared" si="1"/>
        <v>0</v>
      </c>
      <c r="K60" s="46">
        <f t="shared" si="1"/>
        <v>2.6999999999999997</v>
      </c>
      <c r="L60" s="46">
        <f t="shared" si="1"/>
        <v>6.9300000000000317</v>
      </c>
      <c r="M60" s="46">
        <f t="shared" si="1"/>
        <v>12.96</v>
      </c>
      <c r="N60" s="46">
        <f t="shared" si="1"/>
        <v>17.91</v>
      </c>
      <c r="O60" s="46">
        <f t="shared" si="1"/>
        <v>20.7</v>
      </c>
      <c r="P60" s="46">
        <f t="shared" si="1"/>
        <v>24.03</v>
      </c>
      <c r="Q60" s="46">
        <f t="shared" ref="Q60" si="2">Q21/$Q$41</f>
        <v>24.48</v>
      </c>
      <c r="R60" s="30"/>
    </row>
    <row r="61" spans="1:18" ht="13" x14ac:dyDescent="0.3">
      <c r="A61" s="41" t="s">
        <v>112</v>
      </c>
      <c r="B61" s="181">
        <f t="shared" ref="B61:Q76" si="3">B22/$Q$41</f>
        <v>22.319999999999997</v>
      </c>
      <c r="C61" s="181">
        <f t="shared" si="3"/>
        <v>17.82</v>
      </c>
      <c r="D61" s="181">
        <f t="shared" si="3"/>
        <v>15.12</v>
      </c>
      <c r="E61" s="181">
        <f t="shared" si="3"/>
        <v>13.049999999999999</v>
      </c>
      <c r="F61" s="181">
        <f t="shared" si="3"/>
        <v>10.62</v>
      </c>
      <c r="G61" s="181">
        <f t="shared" si="3"/>
        <v>8.2799999999999923</v>
      </c>
      <c r="H61" s="181">
        <f t="shared" si="3"/>
        <v>4.95</v>
      </c>
      <c r="I61" s="181">
        <f t="shared" si="3"/>
        <v>0.9</v>
      </c>
      <c r="J61" s="46">
        <f t="shared" si="3"/>
        <v>1.1699999999999688</v>
      </c>
      <c r="K61" s="46">
        <f t="shared" si="3"/>
        <v>3.869999999999969</v>
      </c>
      <c r="L61" s="46">
        <f t="shared" si="3"/>
        <v>8.1</v>
      </c>
      <c r="M61" s="46">
        <f t="shared" si="3"/>
        <v>14.13</v>
      </c>
      <c r="N61" s="46">
        <f t="shared" si="3"/>
        <v>19.080000000000002</v>
      </c>
      <c r="O61" s="46">
        <f t="shared" si="3"/>
        <v>21.87</v>
      </c>
      <c r="P61" s="46">
        <f t="shared" si="3"/>
        <v>25.2</v>
      </c>
      <c r="Q61" s="46">
        <f t="shared" si="3"/>
        <v>25.650000000000002</v>
      </c>
      <c r="R61" s="30"/>
    </row>
    <row r="62" spans="1:18" ht="13" x14ac:dyDescent="0.3">
      <c r="A62" s="38" t="s">
        <v>90</v>
      </c>
      <c r="B62" s="181">
        <f t="shared" si="3"/>
        <v>21.42</v>
      </c>
      <c r="C62" s="181">
        <f t="shared" si="3"/>
        <v>16.919999999999998</v>
      </c>
      <c r="D62" s="181">
        <f t="shared" si="3"/>
        <v>14.219999999999999</v>
      </c>
      <c r="E62" s="181">
        <f t="shared" si="3"/>
        <v>12.15</v>
      </c>
      <c r="F62" s="181">
        <f t="shared" si="3"/>
        <v>9.7200000000000006</v>
      </c>
      <c r="G62" s="181">
        <f t="shared" si="3"/>
        <v>7.3799999999999928</v>
      </c>
      <c r="H62" s="181">
        <f t="shared" si="3"/>
        <v>4.05</v>
      </c>
      <c r="I62" s="45">
        <f t="shared" si="3"/>
        <v>0</v>
      </c>
      <c r="J62" s="46">
        <f t="shared" si="3"/>
        <v>2.0699999999999688</v>
      </c>
      <c r="K62" s="46">
        <f t="shared" si="3"/>
        <v>4.7699999999999694</v>
      </c>
      <c r="L62" s="46">
        <f t="shared" si="3"/>
        <v>9</v>
      </c>
      <c r="M62" s="46">
        <f t="shared" si="3"/>
        <v>15.030000000000001</v>
      </c>
      <c r="N62" s="46">
        <f t="shared" si="3"/>
        <v>19.98</v>
      </c>
      <c r="O62" s="46">
        <f t="shared" si="3"/>
        <v>22.77</v>
      </c>
      <c r="P62" s="46">
        <f t="shared" si="3"/>
        <v>26.099999999999998</v>
      </c>
      <c r="Q62" s="46">
        <f t="shared" si="3"/>
        <v>26.55</v>
      </c>
      <c r="R62" s="30"/>
    </row>
    <row r="63" spans="1:18" ht="13" x14ac:dyDescent="0.3">
      <c r="A63" s="41" t="s">
        <v>113</v>
      </c>
      <c r="B63" s="181">
        <f t="shared" si="3"/>
        <v>20.477142857142855</v>
      </c>
      <c r="C63" s="181">
        <f t="shared" si="3"/>
        <v>15.977142857142857</v>
      </c>
      <c r="D63" s="181">
        <f t="shared" si="3"/>
        <v>13.277142857142858</v>
      </c>
      <c r="E63" s="181">
        <f t="shared" si="3"/>
        <v>11.207142857142857</v>
      </c>
      <c r="F63" s="181">
        <f t="shared" si="3"/>
        <v>8.7771428571428576</v>
      </c>
      <c r="G63" s="181">
        <f t="shared" si="3"/>
        <v>6.4371428571428488</v>
      </c>
      <c r="H63" s="181">
        <f t="shared" si="3"/>
        <v>3.1071428571428577</v>
      </c>
      <c r="I63" s="46">
        <f t="shared" si="3"/>
        <v>0.94285714285714295</v>
      </c>
      <c r="J63" s="46">
        <f t="shared" si="3"/>
        <v>3.0128571428571118</v>
      </c>
      <c r="K63" s="46">
        <f t="shared" si="3"/>
        <v>5.7128571428571115</v>
      </c>
      <c r="L63" s="46">
        <f t="shared" si="3"/>
        <v>9.9428571428571431</v>
      </c>
      <c r="M63" s="46">
        <f t="shared" si="3"/>
        <v>15.972857142857142</v>
      </c>
      <c r="N63" s="46">
        <f t="shared" si="3"/>
        <v>20.92285714285714</v>
      </c>
      <c r="O63" s="46">
        <f t="shared" si="3"/>
        <v>23.712857142857143</v>
      </c>
      <c r="P63" s="46">
        <f t="shared" si="3"/>
        <v>27.042857142857144</v>
      </c>
      <c r="Q63" s="46">
        <f t="shared" si="3"/>
        <v>27.492857142857144</v>
      </c>
      <c r="R63" s="30"/>
    </row>
    <row r="64" spans="1:18" ht="13" x14ac:dyDescent="0.3">
      <c r="A64" s="41" t="s">
        <v>114</v>
      </c>
      <c r="B64" s="181">
        <f t="shared" si="3"/>
        <v>19.534285714285716</v>
      </c>
      <c r="C64" s="181">
        <f t="shared" si="3"/>
        <v>15.034285714285716</v>
      </c>
      <c r="D64" s="181">
        <f t="shared" si="3"/>
        <v>12.334285714285715</v>
      </c>
      <c r="E64" s="181">
        <f t="shared" si="3"/>
        <v>10.264285714285714</v>
      </c>
      <c r="F64" s="181">
        <f t="shared" si="3"/>
        <v>7.8342857142857154</v>
      </c>
      <c r="G64" s="181">
        <f t="shared" si="3"/>
        <v>5.4942857142857067</v>
      </c>
      <c r="H64" s="181">
        <f t="shared" si="3"/>
        <v>2.1642857142857146</v>
      </c>
      <c r="I64" s="46">
        <f t="shared" si="3"/>
        <v>1.8857142857142859</v>
      </c>
      <c r="J64" s="46">
        <f t="shared" si="3"/>
        <v>3.9557142857142544</v>
      </c>
      <c r="K64" s="46">
        <f t="shared" si="3"/>
        <v>6.6557142857142546</v>
      </c>
      <c r="L64" s="46">
        <f t="shared" si="3"/>
        <v>10.885714285714286</v>
      </c>
      <c r="M64" s="46">
        <f t="shared" si="3"/>
        <v>16.915714285714284</v>
      </c>
      <c r="N64" s="46">
        <f t="shared" si="3"/>
        <v>21.86571428571429</v>
      </c>
      <c r="O64" s="46">
        <f t="shared" si="3"/>
        <v>24.655714285714282</v>
      </c>
      <c r="P64" s="46">
        <f t="shared" si="3"/>
        <v>27.985714285714284</v>
      </c>
      <c r="Q64" s="46">
        <f t="shared" si="3"/>
        <v>28.435714285714287</v>
      </c>
      <c r="R64" s="30"/>
    </row>
    <row r="65" spans="1:18" ht="13" x14ac:dyDescent="0.3">
      <c r="A65" s="41" t="s">
        <v>115</v>
      </c>
      <c r="B65" s="181">
        <f t="shared" si="3"/>
        <v>18.72</v>
      </c>
      <c r="C65" s="181">
        <f t="shared" si="3"/>
        <v>14.219999999999999</v>
      </c>
      <c r="D65" s="181">
        <f t="shared" si="3"/>
        <v>11.520000000000001</v>
      </c>
      <c r="E65" s="181">
        <f t="shared" si="3"/>
        <v>9.4500000000000011</v>
      </c>
      <c r="F65" s="181">
        <f t="shared" si="3"/>
        <v>7.0200000000000076</v>
      </c>
      <c r="G65" s="181">
        <f t="shared" si="3"/>
        <v>4.6799999999999917</v>
      </c>
      <c r="H65" s="181">
        <f t="shared" si="3"/>
        <v>1.3499999999999999</v>
      </c>
      <c r="I65" s="46">
        <f t="shared" si="3"/>
        <v>2.6999999999999997</v>
      </c>
      <c r="J65" s="46">
        <f t="shared" si="3"/>
        <v>4.7699999999999694</v>
      </c>
      <c r="K65" s="46">
        <f t="shared" si="3"/>
        <v>7.4699999999999696</v>
      </c>
      <c r="L65" s="46">
        <f t="shared" si="3"/>
        <v>11.700000000000001</v>
      </c>
      <c r="M65" s="46">
        <f t="shared" si="3"/>
        <v>17.73</v>
      </c>
      <c r="N65" s="46">
        <f t="shared" si="3"/>
        <v>22.680000000000003</v>
      </c>
      <c r="O65" s="46">
        <f t="shared" si="3"/>
        <v>25.47</v>
      </c>
      <c r="P65" s="46">
        <f t="shared" si="3"/>
        <v>28.8</v>
      </c>
      <c r="Q65" s="46">
        <f t="shared" si="3"/>
        <v>29.25</v>
      </c>
      <c r="R65" s="30"/>
    </row>
    <row r="66" spans="1:18" ht="13" x14ac:dyDescent="0.3">
      <c r="A66" s="38" t="s">
        <v>89</v>
      </c>
      <c r="B66" s="181">
        <f t="shared" si="3"/>
        <v>17.37</v>
      </c>
      <c r="C66" s="181">
        <f t="shared" si="3"/>
        <v>12.87</v>
      </c>
      <c r="D66" s="181">
        <f t="shared" si="3"/>
        <v>10.17</v>
      </c>
      <c r="E66" s="181">
        <f t="shared" si="3"/>
        <v>8.1</v>
      </c>
      <c r="F66" s="181">
        <f t="shared" si="3"/>
        <v>5.6700000000000088</v>
      </c>
      <c r="G66" s="181">
        <f t="shared" si="3"/>
        <v>3.3299999999999925</v>
      </c>
      <c r="H66" s="45">
        <f t="shared" si="3"/>
        <v>0</v>
      </c>
      <c r="I66" s="46">
        <f t="shared" si="3"/>
        <v>4.05</v>
      </c>
      <c r="J66" s="46">
        <f t="shared" si="3"/>
        <v>6.119999999999969</v>
      </c>
      <c r="K66" s="46">
        <f t="shared" si="3"/>
        <v>8.82</v>
      </c>
      <c r="L66" s="46">
        <f t="shared" si="3"/>
        <v>13.049999999999999</v>
      </c>
      <c r="M66" s="46">
        <f t="shared" si="3"/>
        <v>19.080000000000002</v>
      </c>
      <c r="N66" s="46">
        <f t="shared" si="3"/>
        <v>24.03</v>
      </c>
      <c r="O66" s="46">
        <f t="shared" si="3"/>
        <v>26.819999999999997</v>
      </c>
      <c r="P66" s="46">
        <f t="shared" si="3"/>
        <v>30.150000000000002</v>
      </c>
      <c r="Q66" s="46">
        <f t="shared" si="3"/>
        <v>30.599999999999998</v>
      </c>
      <c r="R66" s="30"/>
    </row>
    <row r="67" spans="1:18" ht="13" x14ac:dyDescent="0.3">
      <c r="A67" s="41" t="s">
        <v>116</v>
      </c>
      <c r="B67" s="181">
        <f t="shared" si="3"/>
        <v>16.427142857142858</v>
      </c>
      <c r="C67" s="181">
        <f t="shared" si="3"/>
        <v>11.927142857142856</v>
      </c>
      <c r="D67" s="181">
        <f t="shared" si="3"/>
        <v>9.2271428571428569</v>
      </c>
      <c r="E67" s="181">
        <f t="shared" si="3"/>
        <v>7.1571428571428575</v>
      </c>
      <c r="F67" s="181">
        <f t="shared" si="3"/>
        <v>4.7271428571428649</v>
      </c>
      <c r="G67" s="181">
        <f t="shared" si="3"/>
        <v>2.3871428571428495</v>
      </c>
      <c r="H67" s="46">
        <f t="shared" si="3"/>
        <v>0.94285714285714295</v>
      </c>
      <c r="I67" s="46">
        <f t="shared" si="3"/>
        <v>4.9928571428571429</v>
      </c>
      <c r="J67" s="46">
        <f t="shared" si="3"/>
        <v>7.0628571428571112</v>
      </c>
      <c r="K67" s="46">
        <f t="shared" si="3"/>
        <v>9.7628571428571433</v>
      </c>
      <c r="L67" s="46">
        <f t="shared" si="3"/>
        <v>13.992857142857142</v>
      </c>
      <c r="M67" s="46">
        <f t="shared" si="3"/>
        <v>20.022857142857145</v>
      </c>
      <c r="N67" s="46">
        <f t="shared" si="3"/>
        <v>24.972857142857148</v>
      </c>
      <c r="O67" s="46">
        <f t="shared" si="3"/>
        <v>27.762857142857143</v>
      </c>
      <c r="P67" s="46">
        <f t="shared" si="3"/>
        <v>31.092857142857145</v>
      </c>
      <c r="Q67" s="46">
        <f t="shared" si="3"/>
        <v>31.542857142857144</v>
      </c>
      <c r="R67" s="30"/>
    </row>
    <row r="68" spans="1:18" ht="13" x14ac:dyDescent="0.3">
      <c r="A68" s="41" t="s">
        <v>117</v>
      </c>
      <c r="B68" s="181">
        <f t="shared" si="3"/>
        <v>16.065000000000001</v>
      </c>
      <c r="C68" s="181">
        <f t="shared" si="3"/>
        <v>11.565</v>
      </c>
      <c r="D68" s="181">
        <f t="shared" si="3"/>
        <v>8.8650000000000002</v>
      </c>
      <c r="E68" s="181">
        <f t="shared" si="3"/>
        <v>6.7950000000000079</v>
      </c>
      <c r="F68" s="181">
        <f t="shared" si="3"/>
        <v>4.3650000000000153</v>
      </c>
      <c r="G68" s="181">
        <f t="shared" si="3"/>
        <v>2.0249999999999999</v>
      </c>
      <c r="H68" s="46">
        <f t="shared" si="3"/>
        <v>1.3049999999999922</v>
      </c>
      <c r="I68" s="46">
        <f t="shared" si="3"/>
        <v>5.3549999999999924</v>
      </c>
      <c r="J68" s="46">
        <f t="shared" si="3"/>
        <v>7.4249999999999607</v>
      </c>
      <c r="K68" s="46">
        <f t="shared" si="3"/>
        <v>10.125</v>
      </c>
      <c r="L68" s="46">
        <f t="shared" si="3"/>
        <v>14.354999999999999</v>
      </c>
      <c r="M68" s="46">
        <f t="shared" si="3"/>
        <v>20.385000000000002</v>
      </c>
      <c r="N68" s="46">
        <f t="shared" si="3"/>
        <v>25.334999999999997</v>
      </c>
      <c r="O68" s="46">
        <f t="shared" si="3"/>
        <v>28.125</v>
      </c>
      <c r="P68" s="46">
        <f t="shared" si="3"/>
        <v>31.454999999999998</v>
      </c>
      <c r="Q68" s="46">
        <f t="shared" si="3"/>
        <v>31.905000000000001</v>
      </c>
      <c r="R68" s="30"/>
    </row>
    <row r="69" spans="1:18" ht="13" x14ac:dyDescent="0.3">
      <c r="A69" s="38" t="s">
        <v>88</v>
      </c>
      <c r="B69" s="181">
        <f t="shared" si="3"/>
        <v>14.04</v>
      </c>
      <c r="C69" s="181">
        <f t="shared" si="3"/>
        <v>9.5400000000000009</v>
      </c>
      <c r="D69" s="181">
        <f t="shared" si="3"/>
        <v>6.840000000000015</v>
      </c>
      <c r="E69" s="181">
        <f t="shared" si="3"/>
        <v>4.7700000000000076</v>
      </c>
      <c r="F69" s="181">
        <f t="shared" si="3"/>
        <v>2.3400000000000154</v>
      </c>
      <c r="G69" s="45">
        <f t="shared" si="3"/>
        <v>0</v>
      </c>
      <c r="H69" s="46">
        <f t="shared" si="3"/>
        <v>3.3299999999999925</v>
      </c>
      <c r="I69" s="46">
        <f t="shared" si="3"/>
        <v>7.3799999999999928</v>
      </c>
      <c r="J69" s="46">
        <f t="shared" si="3"/>
        <v>9.4500000000000011</v>
      </c>
      <c r="K69" s="46">
        <f t="shared" si="3"/>
        <v>12.15</v>
      </c>
      <c r="L69" s="46">
        <f t="shared" si="3"/>
        <v>16.38</v>
      </c>
      <c r="M69" s="46">
        <f t="shared" si="3"/>
        <v>22.41</v>
      </c>
      <c r="N69" s="46">
        <f t="shared" si="3"/>
        <v>27.36</v>
      </c>
      <c r="O69" s="46">
        <f t="shared" si="3"/>
        <v>30.150000000000002</v>
      </c>
      <c r="P69" s="46">
        <f t="shared" si="3"/>
        <v>33.479999999999997</v>
      </c>
      <c r="Q69" s="46">
        <f t="shared" si="3"/>
        <v>33.93</v>
      </c>
      <c r="R69" s="30"/>
    </row>
    <row r="70" spans="1:18" ht="13" x14ac:dyDescent="0.3">
      <c r="A70" s="38" t="s">
        <v>118</v>
      </c>
      <c r="B70" s="181">
        <f t="shared" si="3"/>
        <v>11.700000000000001</v>
      </c>
      <c r="C70" s="181">
        <f t="shared" si="3"/>
        <v>7.2</v>
      </c>
      <c r="D70" s="181">
        <f t="shared" si="3"/>
        <v>4.5</v>
      </c>
      <c r="E70" s="181">
        <f t="shared" si="3"/>
        <v>2.4299999999999922</v>
      </c>
      <c r="F70" s="45">
        <f t="shared" si="3"/>
        <v>0</v>
      </c>
      <c r="G70" s="46">
        <f t="shared" si="3"/>
        <v>2.3400000000000154</v>
      </c>
      <c r="H70" s="46">
        <f t="shared" si="3"/>
        <v>5.6700000000000088</v>
      </c>
      <c r="I70" s="46">
        <f t="shared" si="3"/>
        <v>9.7200000000000006</v>
      </c>
      <c r="J70" s="46">
        <f t="shared" si="3"/>
        <v>11.79</v>
      </c>
      <c r="K70" s="46">
        <f t="shared" si="3"/>
        <v>14.49</v>
      </c>
      <c r="L70" s="46">
        <f t="shared" si="3"/>
        <v>18.72</v>
      </c>
      <c r="M70" s="46">
        <f t="shared" si="3"/>
        <v>24.75</v>
      </c>
      <c r="N70" s="46">
        <f t="shared" si="3"/>
        <v>29.7</v>
      </c>
      <c r="O70" s="46">
        <f t="shared" si="3"/>
        <v>32.49</v>
      </c>
      <c r="P70" s="46">
        <f t="shared" si="3"/>
        <v>35.82</v>
      </c>
      <c r="Q70" s="46">
        <f t="shared" si="3"/>
        <v>36.270000000000003</v>
      </c>
      <c r="R70" s="30"/>
    </row>
    <row r="71" spans="1:18" ht="13" x14ac:dyDescent="0.3">
      <c r="A71" s="41" t="s">
        <v>119</v>
      </c>
      <c r="B71" s="181">
        <f t="shared" si="3"/>
        <v>10.89</v>
      </c>
      <c r="C71" s="181">
        <f t="shared" si="3"/>
        <v>6.3900000000000148</v>
      </c>
      <c r="D71" s="181">
        <f t="shared" si="3"/>
        <v>3.6900000000000155</v>
      </c>
      <c r="E71" s="181">
        <f t="shared" si="3"/>
        <v>1.6200000000000079</v>
      </c>
      <c r="F71" s="46">
        <f t="shared" si="3"/>
        <v>0.8099999999999844</v>
      </c>
      <c r="G71" s="46">
        <f t="shared" si="3"/>
        <v>3.15</v>
      </c>
      <c r="H71" s="46">
        <f t="shared" si="3"/>
        <v>6.4799999999999924</v>
      </c>
      <c r="I71" s="46">
        <f t="shared" si="3"/>
        <v>10.53</v>
      </c>
      <c r="J71" s="46">
        <f t="shared" si="3"/>
        <v>12.6</v>
      </c>
      <c r="K71" s="46">
        <f t="shared" si="3"/>
        <v>15.299999999999999</v>
      </c>
      <c r="L71" s="46">
        <f t="shared" si="3"/>
        <v>19.53</v>
      </c>
      <c r="M71" s="46">
        <f t="shared" si="3"/>
        <v>25.560000000000002</v>
      </c>
      <c r="N71" s="46">
        <f t="shared" si="3"/>
        <v>30.51</v>
      </c>
      <c r="O71" s="46">
        <f t="shared" si="3"/>
        <v>33.300000000000004</v>
      </c>
      <c r="P71" s="46">
        <f t="shared" si="3"/>
        <v>36.630000000000003</v>
      </c>
      <c r="Q71" s="46">
        <f t="shared" si="3"/>
        <v>37.08</v>
      </c>
      <c r="R71" s="30"/>
    </row>
    <row r="72" spans="1:18" ht="13" x14ac:dyDescent="0.3">
      <c r="A72" s="38" t="s">
        <v>86</v>
      </c>
      <c r="B72" s="181">
        <f t="shared" si="3"/>
        <v>9.27</v>
      </c>
      <c r="C72" s="181">
        <f t="shared" si="3"/>
        <v>4.7700000000000076</v>
      </c>
      <c r="D72" s="181">
        <f t="shared" si="3"/>
        <v>2.0700000000000078</v>
      </c>
      <c r="E72" s="45">
        <f t="shared" si="3"/>
        <v>0</v>
      </c>
      <c r="F72" s="46">
        <f t="shared" si="3"/>
        <v>2.4299999999999922</v>
      </c>
      <c r="G72" s="46">
        <f t="shared" si="3"/>
        <v>4.7700000000000076</v>
      </c>
      <c r="H72" s="46">
        <f t="shared" si="3"/>
        <v>8.1</v>
      </c>
      <c r="I72" s="46">
        <f t="shared" si="3"/>
        <v>12.15</v>
      </c>
      <c r="J72" s="46">
        <f t="shared" si="3"/>
        <v>14.219999999999999</v>
      </c>
      <c r="K72" s="46">
        <f t="shared" si="3"/>
        <v>16.919999999999998</v>
      </c>
      <c r="L72" s="46">
        <f t="shared" si="3"/>
        <v>21.150000000000002</v>
      </c>
      <c r="M72" s="46">
        <f t="shared" si="3"/>
        <v>27.180000000000003</v>
      </c>
      <c r="N72" s="46">
        <f t="shared" si="3"/>
        <v>32.130000000000003</v>
      </c>
      <c r="O72" s="46">
        <f t="shared" si="3"/>
        <v>34.92</v>
      </c>
      <c r="P72" s="46">
        <f t="shared" si="3"/>
        <v>38.25</v>
      </c>
      <c r="Q72" s="46">
        <f t="shared" si="3"/>
        <v>38.699999999999996</v>
      </c>
      <c r="R72" s="30"/>
    </row>
    <row r="73" spans="1:18" ht="13" x14ac:dyDescent="0.3">
      <c r="A73" s="41" t="s">
        <v>120</v>
      </c>
      <c r="B73" s="181">
        <f t="shared" si="3"/>
        <v>8.1900000000000155</v>
      </c>
      <c r="C73" s="181">
        <f t="shared" si="3"/>
        <v>3.6900000000000155</v>
      </c>
      <c r="D73" s="181">
        <f t="shared" si="3"/>
        <v>0.99000000000001565</v>
      </c>
      <c r="E73" s="46">
        <f t="shared" si="3"/>
        <v>1.0799999999999923</v>
      </c>
      <c r="F73" s="46">
        <f t="shared" si="3"/>
        <v>3.5099999999999842</v>
      </c>
      <c r="G73" s="46">
        <f t="shared" si="3"/>
        <v>5.8500000000000005</v>
      </c>
      <c r="H73" s="46">
        <f t="shared" si="3"/>
        <v>9.18</v>
      </c>
      <c r="I73" s="46">
        <f t="shared" si="3"/>
        <v>13.229999999999999</v>
      </c>
      <c r="J73" s="46">
        <f t="shared" si="3"/>
        <v>15.299999999999999</v>
      </c>
      <c r="K73" s="46">
        <f t="shared" si="3"/>
        <v>18</v>
      </c>
      <c r="L73" s="46">
        <f t="shared" si="3"/>
        <v>22.23</v>
      </c>
      <c r="M73" s="46">
        <f t="shared" si="3"/>
        <v>28.26</v>
      </c>
      <c r="N73" s="46">
        <f t="shared" si="3"/>
        <v>33.21</v>
      </c>
      <c r="O73" s="46">
        <f t="shared" si="3"/>
        <v>36</v>
      </c>
      <c r="P73" s="46">
        <f t="shared" si="3"/>
        <v>39.33</v>
      </c>
      <c r="Q73" s="46">
        <f t="shared" si="3"/>
        <v>39.78</v>
      </c>
      <c r="R73" s="30"/>
    </row>
    <row r="74" spans="1:18" ht="13" x14ac:dyDescent="0.3">
      <c r="A74" s="38" t="s">
        <v>121</v>
      </c>
      <c r="B74" s="181">
        <f t="shared" si="3"/>
        <v>7.2</v>
      </c>
      <c r="C74" s="181">
        <f t="shared" si="3"/>
        <v>2.6999999999999997</v>
      </c>
      <c r="D74" s="45">
        <f t="shared" si="3"/>
        <v>0</v>
      </c>
      <c r="E74" s="46">
        <f t="shared" si="3"/>
        <v>2.0700000000000078</v>
      </c>
      <c r="F74" s="46">
        <f t="shared" si="3"/>
        <v>4.5</v>
      </c>
      <c r="G74" s="46">
        <f t="shared" si="3"/>
        <v>6.840000000000015</v>
      </c>
      <c r="H74" s="46">
        <f t="shared" si="3"/>
        <v>10.17</v>
      </c>
      <c r="I74" s="46">
        <f t="shared" si="3"/>
        <v>14.219999999999999</v>
      </c>
      <c r="J74" s="46">
        <f t="shared" si="3"/>
        <v>16.29</v>
      </c>
      <c r="K74" s="46">
        <f t="shared" si="3"/>
        <v>18.989999999999998</v>
      </c>
      <c r="L74" s="46">
        <f t="shared" si="3"/>
        <v>23.22</v>
      </c>
      <c r="M74" s="46">
        <f t="shared" si="3"/>
        <v>29.25</v>
      </c>
      <c r="N74" s="46">
        <f t="shared" si="3"/>
        <v>34.199999999999996</v>
      </c>
      <c r="O74" s="46">
        <f t="shared" si="3"/>
        <v>36.99</v>
      </c>
      <c r="P74" s="46">
        <f t="shared" si="3"/>
        <v>40.32</v>
      </c>
      <c r="Q74" s="46">
        <f t="shared" si="3"/>
        <v>40.770000000000003</v>
      </c>
      <c r="R74" s="30"/>
    </row>
    <row r="75" spans="1:18" ht="13" x14ac:dyDescent="0.3">
      <c r="A75" s="38" t="s">
        <v>84</v>
      </c>
      <c r="B75" s="181">
        <f t="shared" si="3"/>
        <v>4.5</v>
      </c>
      <c r="C75" s="45">
        <f t="shared" si="3"/>
        <v>0</v>
      </c>
      <c r="D75" s="46">
        <f t="shared" si="3"/>
        <v>2.6999999999999997</v>
      </c>
      <c r="E75" s="46">
        <f t="shared" si="3"/>
        <v>4.7700000000000076</v>
      </c>
      <c r="F75" s="46">
        <f t="shared" si="3"/>
        <v>7.2</v>
      </c>
      <c r="G75" s="46">
        <f t="shared" si="3"/>
        <v>9.5400000000000009</v>
      </c>
      <c r="H75" s="46">
        <f t="shared" si="3"/>
        <v>12.87</v>
      </c>
      <c r="I75" s="46">
        <f t="shared" si="3"/>
        <v>16.919999999999998</v>
      </c>
      <c r="J75" s="46">
        <f t="shared" si="3"/>
        <v>18.989999999999998</v>
      </c>
      <c r="K75" s="46">
        <f t="shared" si="3"/>
        <v>21.689999999999998</v>
      </c>
      <c r="L75" s="46">
        <f t="shared" si="3"/>
        <v>25.92</v>
      </c>
      <c r="M75" s="46">
        <f t="shared" si="3"/>
        <v>31.95</v>
      </c>
      <c r="N75" s="46">
        <f t="shared" si="3"/>
        <v>36.9</v>
      </c>
      <c r="O75" s="46">
        <f t="shared" si="3"/>
        <v>39.69</v>
      </c>
      <c r="P75" s="46">
        <f t="shared" si="3"/>
        <v>43.02</v>
      </c>
      <c r="Q75" s="46">
        <f t="shared" si="3"/>
        <v>43.47</v>
      </c>
      <c r="R75" s="30"/>
    </row>
    <row r="76" spans="1:18" ht="13" x14ac:dyDescent="0.3">
      <c r="A76" s="41" t="s">
        <v>122</v>
      </c>
      <c r="B76" s="181">
        <f t="shared" si="3"/>
        <v>3.5099999999999842</v>
      </c>
      <c r="C76" s="46">
        <f t="shared" si="3"/>
        <v>0.99000000000001565</v>
      </c>
      <c r="D76" s="46">
        <f t="shared" si="3"/>
        <v>3.6900000000000155</v>
      </c>
      <c r="E76" s="46">
        <f t="shared" si="3"/>
        <v>5.7600000000000238</v>
      </c>
      <c r="F76" s="46">
        <f t="shared" si="3"/>
        <v>8.1900000000000155</v>
      </c>
      <c r="G76" s="46">
        <f t="shared" si="3"/>
        <v>10.53</v>
      </c>
      <c r="H76" s="46">
        <f t="shared" si="3"/>
        <v>13.86</v>
      </c>
      <c r="I76" s="46">
        <f t="shared" si="3"/>
        <v>17.91</v>
      </c>
      <c r="J76" s="46">
        <f t="shared" si="3"/>
        <v>19.98</v>
      </c>
      <c r="K76" s="46">
        <f t="shared" si="3"/>
        <v>22.680000000000003</v>
      </c>
      <c r="L76" s="46">
        <f t="shared" si="3"/>
        <v>26.91</v>
      </c>
      <c r="M76" s="46">
        <f t="shared" si="3"/>
        <v>32.94</v>
      </c>
      <c r="N76" s="46">
        <f t="shared" si="3"/>
        <v>37.89</v>
      </c>
      <c r="O76" s="46">
        <f t="shared" si="3"/>
        <v>40.68</v>
      </c>
      <c r="P76" s="46">
        <f t="shared" si="3"/>
        <v>44.01</v>
      </c>
      <c r="Q76" s="46">
        <f t="shared" ref="Q76" si="4">Q37/$Q$41</f>
        <v>44.46</v>
      </c>
      <c r="R76" s="30"/>
    </row>
    <row r="77" spans="1:18" ht="13" x14ac:dyDescent="0.3">
      <c r="A77" s="41" t="s">
        <v>123</v>
      </c>
      <c r="B77" s="181">
        <f t="shared" ref="B77:Q78" si="5">B38/$Q$41</f>
        <v>0.8099999999999844</v>
      </c>
      <c r="C77" s="46">
        <f t="shared" si="5"/>
        <v>3.6900000000000155</v>
      </c>
      <c r="D77" s="46">
        <f t="shared" si="5"/>
        <v>6.3900000000000148</v>
      </c>
      <c r="E77" s="46">
        <f t="shared" si="5"/>
        <v>8.4599999999999991</v>
      </c>
      <c r="F77" s="46">
        <f t="shared" si="5"/>
        <v>10.89</v>
      </c>
      <c r="G77" s="46">
        <f t="shared" si="5"/>
        <v>13.229999999999999</v>
      </c>
      <c r="H77" s="46">
        <f t="shared" si="5"/>
        <v>16.559999999999999</v>
      </c>
      <c r="I77" s="46">
        <f t="shared" si="5"/>
        <v>20.61</v>
      </c>
      <c r="J77" s="46">
        <f t="shared" si="5"/>
        <v>22.680000000000003</v>
      </c>
      <c r="K77" s="46">
        <f t="shared" si="5"/>
        <v>25.38</v>
      </c>
      <c r="L77" s="46">
        <f t="shared" si="5"/>
        <v>29.61</v>
      </c>
      <c r="M77" s="46">
        <f t="shared" si="5"/>
        <v>35.64</v>
      </c>
      <c r="N77" s="46">
        <f t="shared" si="5"/>
        <v>40.589999999999996</v>
      </c>
      <c r="O77" s="46">
        <f t="shared" si="5"/>
        <v>43.379999999999995</v>
      </c>
      <c r="P77" s="46">
        <f t="shared" si="5"/>
        <v>46.71</v>
      </c>
      <c r="Q77" s="46">
        <f t="shared" si="5"/>
        <v>47.16</v>
      </c>
      <c r="R77" s="30"/>
    </row>
    <row r="78" spans="1:18" ht="13" x14ac:dyDescent="0.3">
      <c r="A78" s="38" t="s">
        <v>83</v>
      </c>
      <c r="B78" s="45">
        <f t="shared" si="5"/>
        <v>0</v>
      </c>
      <c r="C78" s="46">
        <f t="shared" si="5"/>
        <v>4.5</v>
      </c>
      <c r="D78" s="46">
        <f t="shared" si="5"/>
        <v>7.2</v>
      </c>
      <c r="E78" s="46">
        <f t="shared" si="5"/>
        <v>9.27</v>
      </c>
      <c r="F78" s="46">
        <f t="shared" si="5"/>
        <v>11.700000000000001</v>
      </c>
      <c r="G78" s="46">
        <f t="shared" si="5"/>
        <v>14.04</v>
      </c>
      <c r="H78" s="46">
        <f t="shared" si="5"/>
        <v>17.37</v>
      </c>
      <c r="I78" s="46">
        <f t="shared" si="5"/>
        <v>21.42</v>
      </c>
      <c r="J78" s="46">
        <f t="shared" si="5"/>
        <v>23.49</v>
      </c>
      <c r="K78" s="46">
        <f t="shared" si="5"/>
        <v>26.189999999999998</v>
      </c>
      <c r="L78" s="46">
        <f t="shared" si="5"/>
        <v>30.42</v>
      </c>
      <c r="M78" s="46">
        <f t="shared" si="5"/>
        <v>36.449999999999996</v>
      </c>
      <c r="N78" s="46">
        <f t="shared" si="5"/>
        <v>41.4</v>
      </c>
      <c r="O78" s="46">
        <f t="shared" si="5"/>
        <v>44.19</v>
      </c>
      <c r="P78" s="46">
        <f t="shared" si="5"/>
        <v>47.52</v>
      </c>
      <c r="Q78" s="46">
        <f t="shared" si="5"/>
        <v>47.97</v>
      </c>
      <c r="R78" s="30"/>
    </row>
    <row r="79" spans="1:18" x14ac:dyDescent="0.2">
      <c r="A79" s="30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0"/>
      <c r="M79" s="30"/>
      <c r="N79" s="30"/>
      <c r="O79" s="30"/>
      <c r="P79" s="30"/>
      <c r="Q79" s="30"/>
      <c r="R79" s="30"/>
    </row>
    <row r="80" spans="1:18" ht="21" customHeight="1" x14ac:dyDescent="0.5">
      <c r="A80" s="30"/>
      <c r="B80" s="31"/>
      <c r="C80" s="32"/>
      <c r="D80" s="32"/>
      <c r="E80" s="32"/>
      <c r="F80" s="32"/>
      <c r="G80" s="32"/>
      <c r="H80" s="32"/>
      <c r="I80" s="33" t="str">
        <f ca="1">UPPER(INDIRECT(R81)) &amp;" TIME CHART"</f>
        <v>SYDNEY TIME CHART</v>
      </c>
      <c r="J80" s="32"/>
      <c r="K80" s="32"/>
      <c r="L80" s="30"/>
      <c r="M80" s="30"/>
      <c r="N80" s="30"/>
      <c r="O80" s="30"/>
      <c r="P80" s="30"/>
      <c r="Q80" s="30"/>
      <c r="R80" s="30"/>
    </row>
    <row r="81" spans="1:18" ht="22.5" x14ac:dyDescent="0.45">
      <c r="A81" s="30"/>
      <c r="B81" s="47" t="s">
        <v>126</v>
      </c>
      <c r="C81" s="31"/>
      <c r="D81" s="32"/>
      <c r="E81" s="184">
        <v>8</v>
      </c>
      <c r="F81" s="32"/>
      <c r="G81" s="48" t="s">
        <v>127</v>
      </c>
      <c r="H81" s="48"/>
      <c r="I81" s="32"/>
      <c r="J81" s="32"/>
      <c r="K81" s="185">
        <v>2</v>
      </c>
      <c r="L81" s="30"/>
      <c r="M81" s="30" t="s">
        <v>266</v>
      </c>
      <c r="N81" s="30"/>
      <c r="O81" s="30"/>
      <c r="P81" s="30"/>
      <c r="Q81" s="186" t="s">
        <v>256</v>
      </c>
      <c r="R81" s="49" t="str">
        <f>Q81&amp;"43"</f>
        <v>H43</v>
      </c>
    </row>
    <row r="82" spans="1:18" ht="15.5" x14ac:dyDescent="0.35">
      <c r="A82" s="32"/>
      <c r="B82" s="31"/>
      <c r="C82" s="32"/>
      <c r="D82" s="32"/>
      <c r="E82" s="50"/>
      <c r="F82" s="32"/>
      <c r="G82" s="32"/>
      <c r="H82" s="32"/>
      <c r="I82" s="35" t="str">
        <f ca="1">" Time (hours) from "&amp;INDIRECT(R81)&amp;" to Destination Port or Reporting Position at various average speeds"</f>
        <v xml:space="preserve"> Time (hours) from Sydney to Destination Port or Reporting Position at various average speeds</v>
      </c>
      <c r="J82" s="32"/>
      <c r="K82" s="50"/>
      <c r="L82" s="30"/>
      <c r="M82" s="30"/>
      <c r="N82" s="30"/>
      <c r="O82" s="30"/>
      <c r="P82" s="30"/>
      <c r="Q82" s="51"/>
      <c r="R82" s="30"/>
    </row>
    <row r="83" spans="1:18" s="55" customFormat="1" ht="17.25" customHeight="1" x14ac:dyDescent="0.35">
      <c r="A83" s="52" t="s">
        <v>129</v>
      </c>
      <c r="B83" s="53">
        <f>E81</f>
        <v>8</v>
      </c>
      <c r="C83" s="53">
        <f t="shared" ref="C83:Q83" si="6">B83+$K81</f>
        <v>10</v>
      </c>
      <c r="D83" s="53">
        <f t="shared" si="6"/>
        <v>12</v>
      </c>
      <c r="E83" s="53">
        <f t="shared" si="6"/>
        <v>14</v>
      </c>
      <c r="F83" s="53">
        <f t="shared" si="6"/>
        <v>16</v>
      </c>
      <c r="G83" s="53">
        <f t="shared" si="6"/>
        <v>18</v>
      </c>
      <c r="H83" s="53">
        <f t="shared" si="6"/>
        <v>20</v>
      </c>
      <c r="I83" s="53">
        <f t="shared" si="6"/>
        <v>22</v>
      </c>
      <c r="J83" s="53">
        <f t="shared" si="6"/>
        <v>24</v>
      </c>
      <c r="K83" s="53">
        <f t="shared" si="6"/>
        <v>26</v>
      </c>
      <c r="L83" s="53">
        <f t="shared" si="6"/>
        <v>28</v>
      </c>
      <c r="M83" s="53">
        <f t="shared" si="6"/>
        <v>30</v>
      </c>
      <c r="N83" s="53">
        <f t="shared" si="6"/>
        <v>32</v>
      </c>
      <c r="O83" s="53">
        <f t="shared" si="6"/>
        <v>34</v>
      </c>
      <c r="P83" s="53">
        <f t="shared" si="6"/>
        <v>36</v>
      </c>
      <c r="Q83" s="53">
        <f t="shared" si="6"/>
        <v>38</v>
      </c>
      <c r="R83" s="54"/>
    </row>
    <row r="84" spans="1:18" ht="13" x14ac:dyDescent="0.3">
      <c r="A84" s="37" t="s">
        <v>99</v>
      </c>
      <c r="B84" s="181">
        <f t="shared" ref="B84:Q99" ca="1" si="7">INDIRECT("$"&amp;$Q$81&amp;ROW(B5))/B$83</f>
        <v>47.475000000000001</v>
      </c>
      <c r="C84" s="181">
        <f t="shared" ca="1" si="7"/>
        <v>37.980000000000004</v>
      </c>
      <c r="D84" s="181">
        <f t="shared" ca="1" si="7"/>
        <v>31.650000000000002</v>
      </c>
      <c r="E84" s="181">
        <f t="shared" ca="1" si="7"/>
        <v>27.12857142857143</v>
      </c>
      <c r="F84" s="181">
        <f t="shared" ca="1" si="7"/>
        <v>23.737500000000001</v>
      </c>
      <c r="G84" s="181">
        <f t="shared" ca="1" si="7"/>
        <v>21.1</v>
      </c>
      <c r="H84" s="181">
        <f t="shared" ca="1" si="7"/>
        <v>18.990000000000002</v>
      </c>
      <c r="I84" s="181">
        <f t="shared" ca="1" si="7"/>
        <v>17.263636363636365</v>
      </c>
      <c r="J84" s="181">
        <f t="shared" ca="1" si="7"/>
        <v>15.825000000000001</v>
      </c>
      <c r="K84" s="181">
        <f t="shared" ca="1" si="7"/>
        <v>14.607692307692307</v>
      </c>
      <c r="L84" s="181">
        <f t="shared" ca="1" si="7"/>
        <v>13.564285714285715</v>
      </c>
      <c r="M84" s="181">
        <f t="shared" ca="1" si="7"/>
        <v>12.66</v>
      </c>
      <c r="N84" s="181">
        <f t="shared" ca="1" si="7"/>
        <v>11.86875</v>
      </c>
      <c r="O84" s="181">
        <f t="shared" ca="1" si="7"/>
        <v>11.170588235294119</v>
      </c>
      <c r="P84" s="181">
        <f t="shared" ca="1" si="7"/>
        <v>10.55</v>
      </c>
      <c r="Q84" s="181">
        <f t="shared" ca="1" si="7"/>
        <v>9.9947368421052634</v>
      </c>
      <c r="R84" s="30"/>
    </row>
    <row r="85" spans="1:18" ht="13" x14ac:dyDescent="0.3">
      <c r="A85" s="38" t="s">
        <v>98</v>
      </c>
      <c r="B85" s="181">
        <f t="shared" ca="1" si="7"/>
        <v>45.9</v>
      </c>
      <c r="C85" s="181">
        <f t="shared" ca="1" si="7"/>
        <v>36.72</v>
      </c>
      <c r="D85" s="181">
        <f t="shared" ca="1" si="7"/>
        <v>30.599999999999998</v>
      </c>
      <c r="E85" s="181">
        <f t="shared" ca="1" si="7"/>
        <v>26.228571428571428</v>
      </c>
      <c r="F85" s="181">
        <f t="shared" ca="1" si="7"/>
        <v>22.95</v>
      </c>
      <c r="G85" s="181">
        <f t="shared" ca="1" si="7"/>
        <v>20.399999999999999</v>
      </c>
      <c r="H85" s="181">
        <f t="shared" ca="1" si="7"/>
        <v>18.36</v>
      </c>
      <c r="I85" s="181">
        <f t="shared" ca="1" si="7"/>
        <v>16.690909090909091</v>
      </c>
      <c r="J85" s="181">
        <f t="shared" ca="1" si="7"/>
        <v>15.299999999999999</v>
      </c>
      <c r="K85" s="181">
        <f t="shared" ca="1" si="7"/>
        <v>14.123076923076923</v>
      </c>
      <c r="L85" s="181">
        <f t="shared" ca="1" si="7"/>
        <v>13.114285714285714</v>
      </c>
      <c r="M85" s="181">
        <f t="shared" ca="1" si="7"/>
        <v>12.24</v>
      </c>
      <c r="N85" s="181">
        <f t="shared" ca="1" si="7"/>
        <v>11.475</v>
      </c>
      <c r="O85" s="181">
        <f t="shared" ca="1" si="7"/>
        <v>10.799999999999999</v>
      </c>
      <c r="P85" s="181">
        <f t="shared" ca="1" si="7"/>
        <v>10.199999999999999</v>
      </c>
      <c r="Q85" s="181">
        <f t="shared" ca="1" si="7"/>
        <v>9.6631578947368411</v>
      </c>
      <c r="R85" s="30"/>
    </row>
    <row r="86" spans="1:18" ht="13" x14ac:dyDescent="0.3">
      <c r="A86" s="38" t="s">
        <v>97</v>
      </c>
      <c r="B86" s="181">
        <f t="shared" ca="1" si="7"/>
        <v>45.225000000000001</v>
      </c>
      <c r="C86" s="181">
        <f t="shared" ca="1" si="7"/>
        <v>36.18</v>
      </c>
      <c r="D86" s="181">
        <f t="shared" ca="1" si="7"/>
        <v>30.150000000000002</v>
      </c>
      <c r="E86" s="181">
        <f t="shared" ca="1" si="7"/>
        <v>25.842857142857145</v>
      </c>
      <c r="F86" s="181">
        <f t="shared" ca="1" si="7"/>
        <v>22.612500000000001</v>
      </c>
      <c r="G86" s="181">
        <f t="shared" ca="1" si="7"/>
        <v>20.100000000000001</v>
      </c>
      <c r="H86" s="181">
        <f t="shared" ca="1" si="7"/>
        <v>18.09</v>
      </c>
      <c r="I86" s="181">
        <f t="shared" ca="1" si="7"/>
        <v>16.445454545454545</v>
      </c>
      <c r="J86" s="181">
        <f t="shared" ca="1" si="7"/>
        <v>15.075000000000001</v>
      </c>
      <c r="K86" s="181">
        <f t="shared" ca="1" si="7"/>
        <v>13.915384615384616</v>
      </c>
      <c r="L86" s="181">
        <f t="shared" ca="1" si="7"/>
        <v>12.921428571428573</v>
      </c>
      <c r="M86" s="181">
        <f t="shared" ca="1" si="7"/>
        <v>12.06</v>
      </c>
      <c r="N86" s="181">
        <f t="shared" ca="1" si="7"/>
        <v>11.30625</v>
      </c>
      <c r="O86" s="181">
        <f t="shared" ca="1" si="7"/>
        <v>10.641176470588235</v>
      </c>
      <c r="P86" s="181">
        <f t="shared" ca="1" si="7"/>
        <v>10.050000000000001</v>
      </c>
      <c r="Q86" s="181">
        <f t="shared" ca="1" si="7"/>
        <v>9.5210526315789483</v>
      </c>
      <c r="R86" s="30"/>
    </row>
    <row r="87" spans="1:18" ht="13" x14ac:dyDescent="0.3">
      <c r="A87" s="41" t="s">
        <v>100</v>
      </c>
      <c r="B87" s="181">
        <f t="shared" ca="1" si="7"/>
        <v>43.026428571428575</v>
      </c>
      <c r="C87" s="181">
        <f t="shared" ca="1" si="7"/>
        <v>34.421142857142861</v>
      </c>
      <c r="D87" s="181">
        <f t="shared" ca="1" si="7"/>
        <v>28.684285714285718</v>
      </c>
      <c r="E87" s="181">
        <f t="shared" ca="1" si="7"/>
        <v>24.5865306122449</v>
      </c>
      <c r="F87" s="181">
        <f t="shared" ca="1" si="7"/>
        <v>21.513214285714287</v>
      </c>
      <c r="G87" s="181">
        <f t="shared" ca="1" si="7"/>
        <v>19.122857142857143</v>
      </c>
      <c r="H87" s="181">
        <f t="shared" ca="1" si="7"/>
        <v>17.210571428571431</v>
      </c>
      <c r="I87" s="181">
        <f t="shared" ca="1" si="7"/>
        <v>15.645974025974027</v>
      </c>
      <c r="J87" s="181">
        <f t="shared" ca="1" si="7"/>
        <v>14.342142857142859</v>
      </c>
      <c r="K87" s="181">
        <f t="shared" ca="1" si="7"/>
        <v>13.238901098901099</v>
      </c>
      <c r="L87" s="181">
        <f t="shared" ca="1" si="7"/>
        <v>12.29326530612245</v>
      </c>
      <c r="M87" s="181">
        <f t="shared" ca="1" si="7"/>
        <v>11.473714285714287</v>
      </c>
      <c r="N87" s="181">
        <f t="shared" ca="1" si="7"/>
        <v>10.756607142857144</v>
      </c>
      <c r="O87" s="181">
        <f t="shared" ca="1" si="7"/>
        <v>10.123865546218488</v>
      </c>
      <c r="P87" s="181">
        <f t="shared" ca="1" si="7"/>
        <v>9.5614285714285714</v>
      </c>
      <c r="Q87" s="181">
        <f t="shared" ca="1" si="7"/>
        <v>9.0581954887218057</v>
      </c>
      <c r="R87" s="30"/>
    </row>
    <row r="88" spans="1:18" ht="13" x14ac:dyDescent="0.3">
      <c r="A88" s="41" t="s">
        <v>101</v>
      </c>
      <c r="B88" s="181">
        <f t="shared" ca="1" si="7"/>
        <v>42.255000000000003</v>
      </c>
      <c r="C88" s="181">
        <f t="shared" ca="1" si="7"/>
        <v>33.804000000000002</v>
      </c>
      <c r="D88" s="181">
        <f t="shared" ca="1" si="7"/>
        <v>28.17</v>
      </c>
      <c r="E88" s="181">
        <f t="shared" ca="1" si="7"/>
        <v>24.145714285714288</v>
      </c>
      <c r="F88" s="181">
        <f t="shared" ca="1" si="7"/>
        <v>21.127500000000001</v>
      </c>
      <c r="G88" s="181">
        <f t="shared" ca="1" si="7"/>
        <v>18.78</v>
      </c>
      <c r="H88" s="181">
        <f t="shared" ca="1" si="7"/>
        <v>16.902000000000001</v>
      </c>
      <c r="I88" s="181">
        <f t="shared" ca="1" si="7"/>
        <v>15.365454545454547</v>
      </c>
      <c r="J88" s="181">
        <f t="shared" ca="1" si="7"/>
        <v>14.085000000000001</v>
      </c>
      <c r="K88" s="181">
        <f t="shared" ca="1" si="7"/>
        <v>13.001538461538463</v>
      </c>
      <c r="L88" s="181">
        <f t="shared" ca="1" si="7"/>
        <v>12.072857142857144</v>
      </c>
      <c r="M88" s="181">
        <f t="shared" ca="1" si="7"/>
        <v>11.268000000000001</v>
      </c>
      <c r="N88" s="181">
        <f t="shared" ca="1" si="7"/>
        <v>10.563750000000001</v>
      </c>
      <c r="O88" s="181">
        <f t="shared" ca="1" si="7"/>
        <v>9.9423529411764715</v>
      </c>
      <c r="P88" s="181">
        <f t="shared" ca="1" si="7"/>
        <v>9.39</v>
      </c>
      <c r="Q88" s="181">
        <f t="shared" ca="1" si="7"/>
        <v>8.8957894736842107</v>
      </c>
      <c r="R88" s="30"/>
    </row>
    <row r="89" spans="1:18" ht="13" x14ac:dyDescent="0.3">
      <c r="A89" s="38" t="s">
        <v>96</v>
      </c>
      <c r="B89" s="181">
        <f t="shared" ca="1" si="7"/>
        <v>40.229999999999997</v>
      </c>
      <c r="C89" s="181">
        <f t="shared" ca="1" si="7"/>
        <v>32.183999999999997</v>
      </c>
      <c r="D89" s="181">
        <f t="shared" ca="1" si="7"/>
        <v>26.819999999999997</v>
      </c>
      <c r="E89" s="181">
        <f t="shared" ca="1" si="7"/>
        <v>22.988571428571426</v>
      </c>
      <c r="F89" s="181">
        <f t="shared" ca="1" si="7"/>
        <v>20.114999999999998</v>
      </c>
      <c r="G89" s="181">
        <f t="shared" ca="1" si="7"/>
        <v>17.88</v>
      </c>
      <c r="H89" s="181">
        <f t="shared" ca="1" si="7"/>
        <v>16.091999999999999</v>
      </c>
      <c r="I89" s="181">
        <f t="shared" ca="1" si="7"/>
        <v>14.629090909090907</v>
      </c>
      <c r="J89" s="181">
        <f t="shared" ca="1" si="7"/>
        <v>13.409999999999998</v>
      </c>
      <c r="K89" s="181">
        <f t="shared" ca="1" si="7"/>
        <v>12.378461538461538</v>
      </c>
      <c r="L89" s="181">
        <f t="shared" ca="1" si="7"/>
        <v>11.494285714285713</v>
      </c>
      <c r="M89" s="181">
        <f t="shared" ca="1" si="7"/>
        <v>10.728</v>
      </c>
      <c r="N89" s="181">
        <f t="shared" ca="1" si="7"/>
        <v>10.057499999999999</v>
      </c>
      <c r="O89" s="181">
        <f t="shared" ca="1" si="7"/>
        <v>9.4658823529411755</v>
      </c>
      <c r="P89" s="181">
        <f t="shared" ca="1" si="7"/>
        <v>8.94</v>
      </c>
      <c r="Q89" s="181">
        <f t="shared" ca="1" si="7"/>
        <v>8.4694736842105254</v>
      </c>
      <c r="R89" s="30"/>
    </row>
    <row r="90" spans="1:18" ht="13" x14ac:dyDescent="0.3">
      <c r="A90" s="41" t="s">
        <v>102</v>
      </c>
      <c r="B90" s="181">
        <f t="shared" ca="1" si="7"/>
        <v>38.07</v>
      </c>
      <c r="C90" s="181">
        <f t="shared" ca="1" si="7"/>
        <v>30.456</v>
      </c>
      <c r="D90" s="181">
        <f t="shared" ca="1" si="7"/>
        <v>25.38</v>
      </c>
      <c r="E90" s="181">
        <f t="shared" ca="1" si="7"/>
        <v>21.754285714285714</v>
      </c>
      <c r="F90" s="181">
        <f t="shared" ca="1" si="7"/>
        <v>19.035</v>
      </c>
      <c r="G90" s="181">
        <f t="shared" ca="1" si="7"/>
        <v>16.920000000000002</v>
      </c>
      <c r="H90" s="181">
        <f t="shared" ca="1" si="7"/>
        <v>15.228</v>
      </c>
      <c r="I90" s="181">
        <f t="shared" ca="1" si="7"/>
        <v>13.843636363636364</v>
      </c>
      <c r="J90" s="181">
        <f t="shared" ca="1" si="7"/>
        <v>12.69</v>
      </c>
      <c r="K90" s="181">
        <f t="shared" ca="1" si="7"/>
        <v>11.713846153846154</v>
      </c>
      <c r="L90" s="181">
        <f t="shared" ca="1" si="7"/>
        <v>10.877142857142857</v>
      </c>
      <c r="M90" s="181">
        <f t="shared" ca="1" si="7"/>
        <v>10.151999999999999</v>
      </c>
      <c r="N90" s="181">
        <f t="shared" ca="1" si="7"/>
        <v>9.5175000000000001</v>
      </c>
      <c r="O90" s="181">
        <f t="shared" ca="1" si="7"/>
        <v>8.9576470588235289</v>
      </c>
      <c r="P90" s="181">
        <f t="shared" ca="1" si="7"/>
        <v>8.4600000000000009</v>
      </c>
      <c r="Q90" s="181">
        <f t="shared" ca="1" si="7"/>
        <v>8.0147368421052629</v>
      </c>
      <c r="R90" s="30"/>
    </row>
    <row r="91" spans="1:18" ht="13" x14ac:dyDescent="0.3">
      <c r="A91" s="38" t="s">
        <v>103</v>
      </c>
      <c r="B91" s="181">
        <f t="shared" ca="1" si="7"/>
        <v>36.045000000000002</v>
      </c>
      <c r="C91" s="181">
        <f t="shared" ca="1" si="7"/>
        <v>28.836000000000002</v>
      </c>
      <c r="D91" s="181">
        <f t="shared" ca="1" si="7"/>
        <v>24.03</v>
      </c>
      <c r="E91" s="181">
        <f t="shared" ca="1" si="7"/>
        <v>20.59714285714286</v>
      </c>
      <c r="F91" s="181">
        <f t="shared" ca="1" si="7"/>
        <v>18.022500000000001</v>
      </c>
      <c r="G91" s="181">
        <f t="shared" ca="1" si="7"/>
        <v>16.02</v>
      </c>
      <c r="H91" s="181">
        <f t="shared" ca="1" si="7"/>
        <v>14.418000000000001</v>
      </c>
      <c r="I91" s="181">
        <f t="shared" ca="1" si="7"/>
        <v>13.107272727272727</v>
      </c>
      <c r="J91" s="181">
        <f t="shared" ca="1" si="7"/>
        <v>12.015000000000001</v>
      </c>
      <c r="K91" s="181">
        <f t="shared" ca="1" si="7"/>
        <v>11.090769230769231</v>
      </c>
      <c r="L91" s="181">
        <f t="shared" ca="1" si="7"/>
        <v>10.29857142857143</v>
      </c>
      <c r="M91" s="181">
        <f t="shared" ca="1" si="7"/>
        <v>9.6120000000000001</v>
      </c>
      <c r="N91" s="181">
        <f t="shared" ca="1" si="7"/>
        <v>9.0112500000000004</v>
      </c>
      <c r="O91" s="181">
        <f t="shared" ca="1" si="7"/>
        <v>8.4811764705882364</v>
      </c>
      <c r="P91" s="181">
        <f t="shared" ca="1" si="7"/>
        <v>8.01</v>
      </c>
      <c r="Q91" s="181">
        <f t="shared" ca="1" si="7"/>
        <v>7.5884210526315794</v>
      </c>
      <c r="R91" s="30"/>
    </row>
    <row r="92" spans="1:18" ht="13" x14ac:dyDescent="0.3">
      <c r="A92" s="41" t="s">
        <v>104</v>
      </c>
      <c r="B92" s="181">
        <f t="shared" ca="1" si="7"/>
        <v>32.130000000000003</v>
      </c>
      <c r="C92" s="181">
        <f t="shared" ca="1" si="7"/>
        <v>25.704000000000001</v>
      </c>
      <c r="D92" s="181">
        <f t="shared" ca="1" si="7"/>
        <v>21.42</v>
      </c>
      <c r="E92" s="181">
        <f t="shared" ca="1" si="7"/>
        <v>18.360000000000003</v>
      </c>
      <c r="F92" s="181">
        <f t="shared" ca="1" si="7"/>
        <v>16.065000000000001</v>
      </c>
      <c r="G92" s="181">
        <f t="shared" ca="1" si="7"/>
        <v>14.280000000000001</v>
      </c>
      <c r="H92" s="181">
        <f t="shared" ca="1" si="7"/>
        <v>12.852</v>
      </c>
      <c r="I92" s="181">
        <f t="shared" ca="1" si="7"/>
        <v>11.683636363636365</v>
      </c>
      <c r="J92" s="181">
        <f t="shared" ca="1" si="7"/>
        <v>10.71</v>
      </c>
      <c r="K92" s="181">
        <f t="shared" ca="1" si="7"/>
        <v>9.8861538461538476</v>
      </c>
      <c r="L92" s="181">
        <f t="shared" ca="1" si="7"/>
        <v>9.1800000000000015</v>
      </c>
      <c r="M92" s="181">
        <f t="shared" ca="1" si="7"/>
        <v>8.5680000000000014</v>
      </c>
      <c r="N92" s="181">
        <f t="shared" ca="1" si="7"/>
        <v>8.0325000000000006</v>
      </c>
      <c r="O92" s="181">
        <f t="shared" ca="1" si="7"/>
        <v>7.5600000000000005</v>
      </c>
      <c r="P92" s="181">
        <f t="shared" ca="1" si="7"/>
        <v>7.1400000000000006</v>
      </c>
      <c r="Q92" s="181">
        <f t="shared" ca="1" si="7"/>
        <v>6.7642105263157903</v>
      </c>
      <c r="R92" s="30"/>
    </row>
    <row r="93" spans="1:18" ht="13" x14ac:dyDescent="0.3">
      <c r="A93" s="41" t="s">
        <v>105</v>
      </c>
      <c r="B93" s="181">
        <f t="shared" ca="1" si="7"/>
        <v>30.24</v>
      </c>
      <c r="C93" s="181">
        <f t="shared" ca="1" si="7"/>
        <v>24.192</v>
      </c>
      <c r="D93" s="181">
        <f t="shared" ca="1" si="7"/>
        <v>20.16</v>
      </c>
      <c r="E93" s="181">
        <f t="shared" ca="1" si="7"/>
        <v>17.279999999999998</v>
      </c>
      <c r="F93" s="181">
        <f t="shared" ca="1" si="7"/>
        <v>15.12</v>
      </c>
      <c r="G93" s="181">
        <f t="shared" ca="1" si="7"/>
        <v>13.44</v>
      </c>
      <c r="H93" s="181">
        <f t="shared" ca="1" si="7"/>
        <v>12.096</v>
      </c>
      <c r="I93" s="181">
        <f t="shared" ca="1" si="7"/>
        <v>10.996363636363636</v>
      </c>
      <c r="J93" s="181">
        <f t="shared" ca="1" si="7"/>
        <v>10.08</v>
      </c>
      <c r="K93" s="181">
        <f t="shared" ca="1" si="7"/>
        <v>9.304615384615385</v>
      </c>
      <c r="L93" s="181">
        <f t="shared" ca="1" si="7"/>
        <v>8.6399999999999988</v>
      </c>
      <c r="M93" s="181">
        <f t="shared" ca="1" si="7"/>
        <v>8.0640000000000001</v>
      </c>
      <c r="N93" s="181">
        <f t="shared" ca="1" si="7"/>
        <v>7.56</v>
      </c>
      <c r="O93" s="181">
        <f t="shared" ca="1" si="7"/>
        <v>7.1152941176470588</v>
      </c>
      <c r="P93" s="181">
        <f t="shared" ca="1" si="7"/>
        <v>6.72</v>
      </c>
      <c r="Q93" s="181">
        <f t="shared" ca="1" si="7"/>
        <v>6.3663157894736839</v>
      </c>
      <c r="R93" s="30"/>
    </row>
    <row r="94" spans="1:18" ht="13" x14ac:dyDescent="0.3">
      <c r="A94" s="38" t="s">
        <v>106</v>
      </c>
      <c r="B94" s="181">
        <f t="shared" ca="1" si="7"/>
        <v>28.62</v>
      </c>
      <c r="C94" s="181">
        <f t="shared" ca="1" si="7"/>
        <v>22.896000000000001</v>
      </c>
      <c r="D94" s="181">
        <f t="shared" ca="1" si="7"/>
        <v>19.080000000000002</v>
      </c>
      <c r="E94" s="181">
        <f t="shared" ca="1" si="7"/>
        <v>16.354285714285716</v>
      </c>
      <c r="F94" s="181">
        <f t="shared" ca="1" si="7"/>
        <v>14.31</v>
      </c>
      <c r="G94" s="181">
        <f t="shared" ca="1" si="7"/>
        <v>12.72</v>
      </c>
      <c r="H94" s="181">
        <f t="shared" ca="1" si="7"/>
        <v>11.448</v>
      </c>
      <c r="I94" s="181">
        <f t="shared" ca="1" si="7"/>
        <v>10.407272727272728</v>
      </c>
      <c r="J94" s="181">
        <f t="shared" ca="1" si="7"/>
        <v>9.5400000000000009</v>
      </c>
      <c r="K94" s="181">
        <f t="shared" ca="1" si="7"/>
        <v>8.8061538461538458</v>
      </c>
      <c r="L94" s="181">
        <f t="shared" ca="1" si="7"/>
        <v>8.1771428571428579</v>
      </c>
      <c r="M94" s="181">
        <f t="shared" ca="1" si="7"/>
        <v>7.6320000000000006</v>
      </c>
      <c r="N94" s="181">
        <f t="shared" ca="1" si="7"/>
        <v>7.1550000000000002</v>
      </c>
      <c r="O94" s="181">
        <f t="shared" ca="1" si="7"/>
        <v>6.7341176470588238</v>
      </c>
      <c r="P94" s="181">
        <f t="shared" ca="1" si="7"/>
        <v>6.36</v>
      </c>
      <c r="Q94" s="181">
        <f t="shared" ca="1" si="7"/>
        <v>6.0252631578947371</v>
      </c>
      <c r="R94" s="30"/>
    </row>
    <row r="95" spans="1:18" ht="13" x14ac:dyDescent="0.3">
      <c r="A95" s="38" t="s">
        <v>107</v>
      </c>
      <c r="B95" s="181">
        <f t="shared" ca="1" si="7"/>
        <v>24.164999999999999</v>
      </c>
      <c r="C95" s="181">
        <f t="shared" ca="1" si="7"/>
        <v>19.332000000000001</v>
      </c>
      <c r="D95" s="181">
        <f t="shared" ca="1" si="7"/>
        <v>16.11</v>
      </c>
      <c r="E95" s="181">
        <f t="shared" ca="1" si="7"/>
        <v>13.808571428571428</v>
      </c>
      <c r="F95" s="181">
        <f t="shared" ca="1" si="7"/>
        <v>12.0825</v>
      </c>
      <c r="G95" s="181">
        <f t="shared" ca="1" si="7"/>
        <v>10.74</v>
      </c>
      <c r="H95" s="181">
        <f t="shared" ca="1" si="7"/>
        <v>9.6660000000000004</v>
      </c>
      <c r="I95" s="181">
        <f t="shared" ca="1" si="7"/>
        <v>8.7872727272727271</v>
      </c>
      <c r="J95" s="181">
        <f t="shared" ca="1" si="7"/>
        <v>8.0549999999999997</v>
      </c>
      <c r="K95" s="181">
        <f t="shared" ca="1" si="7"/>
        <v>7.4353846153846153</v>
      </c>
      <c r="L95" s="181">
        <f t="shared" ca="1" si="7"/>
        <v>6.9042857142857139</v>
      </c>
      <c r="M95" s="181">
        <f t="shared" ca="1" si="7"/>
        <v>6.444</v>
      </c>
      <c r="N95" s="181">
        <f t="shared" ca="1" si="7"/>
        <v>6.0412499999999998</v>
      </c>
      <c r="O95" s="181">
        <f t="shared" ca="1" si="7"/>
        <v>5.6858823529411762</v>
      </c>
      <c r="P95" s="181">
        <f t="shared" ca="1" si="7"/>
        <v>5.37</v>
      </c>
      <c r="Q95" s="181">
        <f t="shared" ca="1" si="7"/>
        <v>5.0873684210526315</v>
      </c>
      <c r="R95" s="30"/>
    </row>
    <row r="96" spans="1:18" ht="13" x14ac:dyDescent="0.3">
      <c r="A96" s="38" t="s">
        <v>108</v>
      </c>
      <c r="B96" s="181">
        <f t="shared" ca="1" si="7"/>
        <v>19.574999999999999</v>
      </c>
      <c r="C96" s="181">
        <f t="shared" ca="1" si="7"/>
        <v>15.66</v>
      </c>
      <c r="D96" s="181">
        <f t="shared" ca="1" si="7"/>
        <v>13.049999999999999</v>
      </c>
      <c r="E96" s="181">
        <f t="shared" ca="1" si="7"/>
        <v>11.185714285714285</v>
      </c>
      <c r="F96" s="181">
        <f t="shared" ca="1" si="7"/>
        <v>9.7874999999999996</v>
      </c>
      <c r="G96" s="181">
        <f t="shared" ca="1" si="7"/>
        <v>8.6999999999999993</v>
      </c>
      <c r="H96" s="181">
        <f t="shared" ca="1" si="7"/>
        <v>7.83</v>
      </c>
      <c r="I96" s="181">
        <f t="shared" ca="1" si="7"/>
        <v>7.1181818181818182</v>
      </c>
      <c r="J96" s="181">
        <f t="shared" ca="1" si="7"/>
        <v>6.5249999999999995</v>
      </c>
      <c r="K96" s="181">
        <f t="shared" ca="1" si="7"/>
        <v>6.023076923076923</v>
      </c>
      <c r="L96" s="181">
        <f t="shared" ca="1" si="7"/>
        <v>5.5928571428571425</v>
      </c>
      <c r="M96" s="181">
        <f t="shared" ca="1" si="7"/>
        <v>5.22</v>
      </c>
      <c r="N96" s="181">
        <f t="shared" ca="1" si="7"/>
        <v>4.8937499999999998</v>
      </c>
      <c r="O96" s="181">
        <f t="shared" ca="1" si="7"/>
        <v>4.6058823529411761</v>
      </c>
      <c r="P96" s="181">
        <f t="shared" ca="1" si="7"/>
        <v>4.3499999999999996</v>
      </c>
      <c r="Q96" s="181">
        <f t="shared" ca="1" si="7"/>
        <v>4.1210526315789471</v>
      </c>
      <c r="R96" s="30"/>
    </row>
    <row r="97" spans="1:18" ht="13" x14ac:dyDescent="0.3">
      <c r="A97" s="41" t="s">
        <v>109</v>
      </c>
      <c r="B97" s="181">
        <f t="shared" ca="1" si="7"/>
        <v>17.684999999999999</v>
      </c>
      <c r="C97" s="181">
        <f t="shared" ca="1" si="7"/>
        <v>14.148</v>
      </c>
      <c r="D97" s="181">
        <f t="shared" ca="1" si="7"/>
        <v>11.79</v>
      </c>
      <c r="E97" s="181">
        <f t="shared" ca="1" si="7"/>
        <v>10.105714285714285</v>
      </c>
      <c r="F97" s="181">
        <f t="shared" ca="1" si="7"/>
        <v>8.8424999999999994</v>
      </c>
      <c r="G97" s="181">
        <f t="shared" ca="1" si="7"/>
        <v>7.8599999999999994</v>
      </c>
      <c r="H97" s="181">
        <f t="shared" ca="1" si="7"/>
        <v>7.0739999999999998</v>
      </c>
      <c r="I97" s="181">
        <f t="shared" ca="1" si="7"/>
        <v>6.4309090909090907</v>
      </c>
      <c r="J97" s="181">
        <f t="shared" ca="1" si="7"/>
        <v>5.8949999999999996</v>
      </c>
      <c r="K97" s="181">
        <f t="shared" ca="1" si="7"/>
        <v>5.4415384615384612</v>
      </c>
      <c r="L97" s="181">
        <f t="shared" ca="1" si="7"/>
        <v>5.0528571428571425</v>
      </c>
      <c r="M97" s="181">
        <f t="shared" ca="1" si="7"/>
        <v>4.7159999999999993</v>
      </c>
      <c r="N97" s="181">
        <f t="shared" ca="1" si="7"/>
        <v>4.4212499999999997</v>
      </c>
      <c r="O97" s="181">
        <f t="shared" ca="1" si="7"/>
        <v>4.1611764705882353</v>
      </c>
      <c r="P97" s="181">
        <f t="shared" ca="1" si="7"/>
        <v>3.9299999999999997</v>
      </c>
      <c r="Q97" s="181">
        <f t="shared" ca="1" si="7"/>
        <v>3.723157894736842</v>
      </c>
      <c r="R97" s="30"/>
    </row>
    <row r="98" spans="1:18" ht="13" x14ac:dyDescent="0.3">
      <c r="A98" s="41" t="s">
        <v>110</v>
      </c>
      <c r="B98" s="181">
        <f t="shared" ca="1" si="7"/>
        <v>16.2</v>
      </c>
      <c r="C98" s="181">
        <f t="shared" ca="1" si="7"/>
        <v>12.959999999999999</v>
      </c>
      <c r="D98" s="181">
        <f t="shared" ca="1" si="7"/>
        <v>10.799999999999999</v>
      </c>
      <c r="E98" s="181">
        <f t="shared" ca="1" si="7"/>
        <v>9.2571428571428562</v>
      </c>
      <c r="F98" s="181">
        <f t="shared" ca="1" si="7"/>
        <v>8.1</v>
      </c>
      <c r="G98" s="181">
        <f t="shared" ca="1" si="7"/>
        <v>7.1999999999999993</v>
      </c>
      <c r="H98" s="181">
        <f t="shared" ca="1" si="7"/>
        <v>6.4799999999999995</v>
      </c>
      <c r="I98" s="181">
        <f t="shared" ca="1" si="7"/>
        <v>5.8909090909090907</v>
      </c>
      <c r="J98" s="181">
        <f t="shared" ca="1" si="7"/>
        <v>5.3999999999999995</v>
      </c>
      <c r="K98" s="181">
        <f t="shared" ca="1" si="7"/>
        <v>4.9846153846153847</v>
      </c>
      <c r="L98" s="181">
        <f t="shared" ca="1" si="7"/>
        <v>4.6285714285714281</v>
      </c>
      <c r="M98" s="181">
        <f t="shared" ca="1" si="7"/>
        <v>4.3199999999999994</v>
      </c>
      <c r="N98" s="181">
        <f t="shared" ca="1" si="7"/>
        <v>4.05</v>
      </c>
      <c r="O98" s="181">
        <f t="shared" ca="1" si="7"/>
        <v>3.8117647058823527</v>
      </c>
      <c r="P98" s="181">
        <f t="shared" ca="1" si="7"/>
        <v>3.5999999999999996</v>
      </c>
      <c r="Q98" s="181">
        <f t="shared" ca="1" si="7"/>
        <v>3.4105263157894736</v>
      </c>
      <c r="R98" s="30"/>
    </row>
    <row r="99" spans="1:18" ht="13" x14ac:dyDescent="0.3">
      <c r="A99" s="38" t="s">
        <v>111</v>
      </c>
      <c r="B99" s="181">
        <f t="shared" ca="1" si="7"/>
        <v>13.23</v>
      </c>
      <c r="C99" s="181">
        <f t="shared" ca="1" si="7"/>
        <v>10.584</v>
      </c>
      <c r="D99" s="181">
        <f t="shared" ca="1" si="7"/>
        <v>8.82</v>
      </c>
      <c r="E99" s="181">
        <f t="shared" ca="1" si="7"/>
        <v>7.5600000000000005</v>
      </c>
      <c r="F99" s="181">
        <f t="shared" ca="1" si="7"/>
        <v>6.6150000000000002</v>
      </c>
      <c r="G99" s="181">
        <f t="shared" ca="1" si="7"/>
        <v>5.88</v>
      </c>
      <c r="H99" s="181">
        <f t="shared" ca="1" si="7"/>
        <v>5.2919999999999998</v>
      </c>
      <c r="I99" s="181">
        <f t="shared" ca="1" si="7"/>
        <v>4.8109090909090915</v>
      </c>
      <c r="J99" s="181">
        <f t="shared" ca="1" si="7"/>
        <v>4.41</v>
      </c>
      <c r="K99" s="181">
        <f t="shared" ca="1" si="7"/>
        <v>4.0707692307692307</v>
      </c>
      <c r="L99" s="181">
        <f t="shared" ca="1" si="7"/>
        <v>3.7800000000000002</v>
      </c>
      <c r="M99" s="181">
        <f t="shared" ca="1" si="7"/>
        <v>3.528</v>
      </c>
      <c r="N99" s="181">
        <f t="shared" ca="1" si="7"/>
        <v>3.3075000000000001</v>
      </c>
      <c r="O99" s="181">
        <f t="shared" ca="1" si="7"/>
        <v>3.1129411764705885</v>
      </c>
      <c r="P99" s="181">
        <f t="shared" ca="1" si="7"/>
        <v>2.94</v>
      </c>
      <c r="Q99" s="181">
        <f t="shared" ref="Q99" ca="1" si="8">INDIRECT("$"&amp;$Q$81&amp;ROW(Q20))/Q$83</f>
        <v>2.7852631578947369</v>
      </c>
      <c r="R99" s="30"/>
    </row>
    <row r="100" spans="1:18" ht="13" x14ac:dyDescent="0.3">
      <c r="A100" s="38" t="s">
        <v>91</v>
      </c>
      <c r="B100" s="181">
        <f t="shared" ref="B100:Q115" ca="1" si="9">INDIRECT("$"&amp;$Q$81&amp;ROW(B21))/B$83</f>
        <v>9.1799999999999535</v>
      </c>
      <c r="C100" s="181">
        <f t="shared" ca="1" si="9"/>
        <v>7.343999999999963</v>
      </c>
      <c r="D100" s="181">
        <f t="shared" ca="1" si="9"/>
        <v>6.119999999999969</v>
      </c>
      <c r="E100" s="181">
        <f t="shared" ca="1" si="9"/>
        <v>5.2457142857142589</v>
      </c>
      <c r="F100" s="181">
        <f t="shared" ca="1" si="9"/>
        <v>4.5899999999999768</v>
      </c>
      <c r="G100" s="181">
        <f t="shared" ca="1" si="9"/>
        <v>4.0799999999999796</v>
      </c>
      <c r="H100" s="181">
        <f t="shared" ca="1" si="9"/>
        <v>3.6719999999999815</v>
      </c>
      <c r="I100" s="181">
        <f t="shared" ca="1" si="9"/>
        <v>3.3381818181818015</v>
      </c>
      <c r="J100" s="181">
        <f t="shared" ca="1" si="9"/>
        <v>3.0599999999999845</v>
      </c>
      <c r="K100" s="181">
        <f t="shared" ca="1" si="9"/>
        <v>2.8246153846153703</v>
      </c>
      <c r="L100" s="181">
        <f t="shared" ca="1" si="9"/>
        <v>2.6228571428571295</v>
      </c>
      <c r="M100" s="181">
        <f t="shared" ca="1" si="9"/>
        <v>2.4479999999999875</v>
      </c>
      <c r="N100" s="181">
        <f t="shared" ca="1" si="9"/>
        <v>2.2949999999999884</v>
      </c>
      <c r="O100" s="181">
        <f t="shared" ca="1" si="9"/>
        <v>2.159999999999989</v>
      </c>
      <c r="P100" s="181">
        <f t="shared" ca="1" si="9"/>
        <v>2.0399999999999898</v>
      </c>
      <c r="Q100" s="181">
        <f t="shared" ca="1" si="9"/>
        <v>1.9326315789473587</v>
      </c>
      <c r="R100" s="30"/>
    </row>
    <row r="101" spans="1:18" ht="13" x14ac:dyDescent="0.3">
      <c r="A101" s="41" t="s">
        <v>112</v>
      </c>
      <c r="B101" s="181">
        <f t="shared" ca="1" si="9"/>
        <v>7.4249999999999998</v>
      </c>
      <c r="C101" s="181">
        <f t="shared" ca="1" si="9"/>
        <v>5.9399999999999995</v>
      </c>
      <c r="D101" s="181">
        <f t="shared" ca="1" si="9"/>
        <v>4.95</v>
      </c>
      <c r="E101" s="181">
        <f t="shared" ca="1" si="9"/>
        <v>4.2428571428571429</v>
      </c>
      <c r="F101" s="181">
        <f t="shared" ca="1" si="9"/>
        <v>3.7124999999999999</v>
      </c>
      <c r="G101" s="181">
        <f t="shared" ca="1" si="9"/>
        <v>3.3</v>
      </c>
      <c r="H101" s="181">
        <f t="shared" ca="1" si="9"/>
        <v>2.9699999999999998</v>
      </c>
      <c r="I101" s="181">
        <f t="shared" ca="1" si="9"/>
        <v>2.6999999999999997</v>
      </c>
      <c r="J101" s="181">
        <f t="shared" ca="1" si="9"/>
        <v>2.4750000000000001</v>
      </c>
      <c r="K101" s="181">
        <f t="shared" ca="1" si="9"/>
        <v>2.2846153846153845</v>
      </c>
      <c r="L101" s="181">
        <f t="shared" ca="1" si="9"/>
        <v>2.1214285714285714</v>
      </c>
      <c r="M101" s="181">
        <f t="shared" ca="1" si="9"/>
        <v>1.98</v>
      </c>
      <c r="N101" s="181">
        <f t="shared" ca="1" si="9"/>
        <v>1.85625</v>
      </c>
      <c r="O101" s="181">
        <f t="shared" ca="1" si="9"/>
        <v>1.7470588235294118</v>
      </c>
      <c r="P101" s="181">
        <f t="shared" ca="1" si="9"/>
        <v>1.65</v>
      </c>
      <c r="Q101" s="181">
        <f t="shared" ca="1" si="9"/>
        <v>1.5631578947368421</v>
      </c>
      <c r="R101" s="30"/>
    </row>
    <row r="102" spans="1:18" ht="13" x14ac:dyDescent="0.3">
      <c r="A102" s="38" t="s">
        <v>90</v>
      </c>
      <c r="B102" s="181">
        <f t="shared" ca="1" si="9"/>
        <v>6.0750000000000002</v>
      </c>
      <c r="C102" s="181">
        <f t="shared" ca="1" si="9"/>
        <v>4.8600000000000003</v>
      </c>
      <c r="D102" s="181">
        <f t="shared" ca="1" si="9"/>
        <v>4.05</v>
      </c>
      <c r="E102" s="181">
        <f t="shared" ca="1" si="9"/>
        <v>3.4714285714285715</v>
      </c>
      <c r="F102" s="181">
        <f t="shared" ca="1" si="9"/>
        <v>3.0375000000000001</v>
      </c>
      <c r="G102" s="181">
        <f t="shared" ca="1" si="9"/>
        <v>2.7</v>
      </c>
      <c r="H102" s="181">
        <f t="shared" ca="1" si="9"/>
        <v>2.4300000000000002</v>
      </c>
      <c r="I102" s="181">
        <f t="shared" ca="1" si="9"/>
        <v>2.209090909090909</v>
      </c>
      <c r="J102" s="181">
        <f t="shared" ca="1" si="9"/>
        <v>2.0249999999999999</v>
      </c>
      <c r="K102" s="181">
        <f t="shared" ca="1" si="9"/>
        <v>1.8692307692307693</v>
      </c>
      <c r="L102" s="181">
        <f t="shared" ca="1" si="9"/>
        <v>1.7357142857142858</v>
      </c>
      <c r="M102" s="181">
        <f t="shared" ca="1" si="9"/>
        <v>1.62</v>
      </c>
      <c r="N102" s="181">
        <f t="shared" ca="1" si="9"/>
        <v>1.51875</v>
      </c>
      <c r="O102" s="181">
        <f t="shared" ca="1" si="9"/>
        <v>1.4294117647058824</v>
      </c>
      <c r="P102" s="181">
        <f t="shared" ca="1" si="9"/>
        <v>1.35</v>
      </c>
      <c r="Q102" s="181">
        <f t="shared" ca="1" si="9"/>
        <v>1.2789473684210526</v>
      </c>
      <c r="R102" s="30"/>
    </row>
    <row r="103" spans="1:18" ht="13" x14ac:dyDescent="0.3">
      <c r="A103" s="41" t="s">
        <v>113</v>
      </c>
      <c r="B103" s="181">
        <f t="shared" ca="1" si="9"/>
        <v>4.6607142857142865</v>
      </c>
      <c r="C103" s="181">
        <f t="shared" ca="1" si="9"/>
        <v>3.7285714285714291</v>
      </c>
      <c r="D103" s="181">
        <f t="shared" ca="1" si="9"/>
        <v>3.1071428571428577</v>
      </c>
      <c r="E103" s="181">
        <f t="shared" ca="1" si="9"/>
        <v>2.6632653061224496</v>
      </c>
      <c r="F103" s="181">
        <f t="shared" ca="1" si="9"/>
        <v>2.3303571428571432</v>
      </c>
      <c r="G103" s="181">
        <f t="shared" ca="1" si="9"/>
        <v>2.0714285714285716</v>
      </c>
      <c r="H103" s="181">
        <f t="shared" ca="1" si="9"/>
        <v>1.8642857142857145</v>
      </c>
      <c r="I103" s="181">
        <f t="shared" ca="1" si="9"/>
        <v>1.694805194805195</v>
      </c>
      <c r="J103" s="181">
        <f t="shared" ca="1" si="9"/>
        <v>1.5535714285714288</v>
      </c>
      <c r="K103" s="181">
        <f t="shared" ca="1" si="9"/>
        <v>1.4340659340659343</v>
      </c>
      <c r="L103" s="181">
        <f t="shared" ca="1" si="9"/>
        <v>1.3316326530612248</v>
      </c>
      <c r="M103" s="181">
        <f t="shared" ca="1" si="9"/>
        <v>1.2428571428571431</v>
      </c>
      <c r="N103" s="181">
        <f t="shared" ca="1" si="9"/>
        <v>1.1651785714285716</v>
      </c>
      <c r="O103" s="181">
        <f t="shared" ca="1" si="9"/>
        <v>1.096638655462185</v>
      </c>
      <c r="P103" s="181">
        <f t="shared" ca="1" si="9"/>
        <v>1.0357142857142858</v>
      </c>
      <c r="Q103" s="181">
        <f t="shared" ca="1" si="9"/>
        <v>0.98120300751879719</v>
      </c>
      <c r="R103" s="30"/>
    </row>
    <row r="104" spans="1:18" ht="13" x14ac:dyDescent="0.3">
      <c r="A104" s="41" t="s">
        <v>114</v>
      </c>
      <c r="B104" s="181">
        <f t="shared" ca="1" si="9"/>
        <v>3.2464285714285719</v>
      </c>
      <c r="C104" s="181">
        <f t="shared" ca="1" si="9"/>
        <v>2.5971428571428574</v>
      </c>
      <c r="D104" s="181">
        <f t="shared" ca="1" si="9"/>
        <v>2.1642857142857146</v>
      </c>
      <c r="E104" s="181">
        <f t="shared" ca="1" si="9"/>
        <v>1.8551020408163268</v>
      </c>
      <c r="F104" s="181">
        <f t="shared" ca="1" si="9"/>
        <v>1.6232142857142859</v>
      </c>
      <c r="G104" s="181">
        <f t="shared" ca="1" si="9"/>
        <v>1.4428571428571431</v>
      </c>
      <c r="H104" s="181">
        <f t="shared" ca="1" si="9"/>
        <v>1.2985714285714287</v>
      </c>
      <c r="I104" s="181">
        <f t="shared" ca="1" si="9"/>
        <v>1.1805194805194807</v>
      </c>
      <c r="J104" s="181">
        <f t="shared" ca="1" si="9"/>
        <v>1.0821428571428573</v>
      </c>
      <c r="K104" s="181">
        <f t="shared" ca="1" si="9"/>
        <v>0.99890109890109902</v>
      </c>
      <c r="L104" s="181">
        <f t="shared" ca="1" si="9"/>
        <v>0.9275510204081634</v>
      </c>
      <c r="M104" s="181">
        <f t="shared" ca="1" si="9"/>
        <v>0.86571428571428588</v>
      </c>
      <c r="N104" s="181">
        <f t="shared" ca="1" si="9"/>
        <v>0.81160714285714297</v>
      </c>
      <c r="O104" s="181">
        <f t="shared" ca="1" si="9"/>
        <v>0.76386554621848746</v>
      </c>
      <c r="P104" s="181">
        <f t="shared" ca="1" si="9"/>
        <v>0.72142857142857153</v>
      </c>
      <c r="Q104" s="181">
        <f t="shared" ca="1" si="9"/>
        <v>0.68345864661654143</v>
      </c>
      <c r="R104" s="30"/>
    </row>
    <row r="105" spans="1:18" ht="13" x14ac:dyDescent="0.3">
      <c r="A105" s="41" t="s">
        <v>115</v>
      </c>
      <c r="B105" s="181">
        <f t="shared" ca="1" si="9"/>
        <v>2.0249999999999999</v>
      </c>
      <c r="C105" s="181">
        <f t="shared" ca="1" si="9"/>
        <v>1.6199999999999999</v>
      </c>
      <c r="D105" s="181">
        <f t="shared" ca="1" si="9"/>
        <v>1.3499999999999999</v>
      </c>
      <c r="E105" s="181">
        <f t="shared" ca="1" si="9"/>
        <v>1.157142857142857</v>
      </c>
      <c r="F105" s="181">
        <f t="shared" ca="1" si="9"/>
        <v>1.0125</v>
      </c>
      <c r="G105" s="181">
        <f t="shared" ca="1" si="9"/>
        <v>0.89999999999999991</v>
      </c>
      <c r="H105" s="181">
        <f t="shared" ca="1" si="9"/>
        <v>0.80999999999999994</v>
      </c>
      <c r="I105" s="181">
        <f t="shared" ca="1" si="9"/>
        <v>0.73636363636363633</v>
      </c>
      <c r="J105" s="181">
        <f t="shared" ca="1" si="9"/>
        <v>0.67499999999999993</v>
      </c>
      <c r="K105" s="181">
        <f t="shared" ca="1" si="9"/>
        <v>0.62307692307692308</v>
      </c>
      <c r="L105" s="181">
        <f t="shared" ca="1" si="9"/>
        <v>0.57857142857142851</v>
      </c>
      <c r="M105" s="181">
        <f t="shared" ca="1" si="9"/>
        <v>0.53999999999999992</v>
      </c>
      <c r="N105" s="181">
        <f t="shared" ca="1" si="9"/>
        <v>0.50624999999999998</v>
      </c>
      <c r="O105" s="181">
        <f t="shared" ca="1" si="9"/>
        <v>0.47647058823529409</v>
      </c>
      <c r="P105" s="181">
        <f t="shared" ca="1" si="9"/>
        <v>0.44999999999999996</v>
      </c>
      <c r="Q105" s="181">
        <f t="shared" ca="1" si="9"/>
        <v>0.4263157894736842</v>
      </c>
      <c r="R105" s="30"/>
    </row>
    <row r="106" spans="1:18" ht="13" x14ac:dyDescent="0.3">
      <c r="A106" s="38" t="s">
        <v>89</v>
      </c>
      <c r="B106" s="44">
        <f t="shared" ca="1" si="9"/>
        <v>0</v>
      </c>
      <c r="C106" s="44">
        <f t="shared" ca="1" si="9"/>
        <v>0</v>
      </c>
      <c r="D106" s="44">
        <f t="shared" ca="1" si="9"/>
        <v>0</v>
      </c>
      <c r="E106" s="44">
        <f t="shared" ca="1" si="9"/>
        <v>0</v>
      </c>
      <c r="F106" s="44">
        <f t="shared" ca="1" si="9"/>
        <v>0</v>
      </c>
      <c r="G106" s="44">
        <f t="shared" ca="1" si="9"/>
        <v>0</v>
      </c>
      <c r="H106" s="44">
        <f t="shared" ca="1" si="9"/>
        <v>0</v>
      </c>
      <c r="I106" s="44">
        <f t="shared" ca="1" si="9"/>
        <v>0</v>
      </c>
      <c r="J106" s="44">
        <f t="shared" ca="1" si="9"/>
        <v>0</v>
      </c>
      <c r="K106" s="44">
        <f t="shared" ca="1" si="9"/>
        <v>0</v>
      </c>
      <c r="L106" s="44">
        <f t="shared" ca="1" si="9"/>
        <v>0</v>
      </c>
      <c r="M106" s="44">
        <f t="shared" ca="1" si="9"/>
        <v>0</v>
      </c>
      <c r="N106" s="44">
        <f t="shared" ca="1" si="9"/>
        <v>0</v>
      </c>
      <c r="O106" s="44">
        <f t="shared" ca="1" si="9"/>
        <v>0</v>
      </c>
      <c r="P106" s="44">
        <f t="shared" ca="1" si="9"/>
        <v>0</v>
      </c>
      <c r="Q106" s="44">
        <f t="shared" ca="1" si="9"/>
        <v>0</v>
      </c>
      <c r="R106" s="30"/>
    </row>
    <row r="107" spans="1:18" ht="13" x14ac:dyDescent="0.3">
      <c r="A107" s="41" t="s">
        <v>116</v>
      </c>
      <c r="B107" s="181">
        <f t="shared" ca="1" si="9"/>
        <v>1.4142857142857144</v>
      </c>
      <c r="C107" s="181">
        <f t="shared" ca="1" si="9"/>
        <v>1.1314285714285715</v>
      </c>
      <c r="D107" s="181">
        <f t="shared" ca="1" si="9"/>
        <v>0.94285714285714295</v>
      </c>
      <c r="E107" s="181">
        <f t="shared" ca="1" si="9"/>
        <v>0.80816326530612248</v>
      </c>
      <c r="F107" s="181">
        <f t="shared" ca="1" si="9"/>
        <v>0.70714285714285718</v>
      </c>
      <c r="G107" s="181">
        <f t="shared" ca="1" si="9"/>
        <v>0.62857142857142856</v>
      </c>
      <c r="H107" s="181">
        <f t="shared" ca="1" si="9"/>
        <v>0.56571428571428573</v>
      </c>
      <c r="I107" s="181">
        <f t="shared" ca="1" si="9"/>
        <v>0.51428571428571435</v>
      </c>
      <c r="J107" s="181">
        <f t="shared" ca="1" si="9"/>
        <v>0.47142857142857147</v>
      </c>
      <c r="K107" s="181">
        <f t="shared" ca="1" si="9"/>
        <v>0.43516483516483517</v>
      </c>
      <c r="L107" s="181">
        <f t="shared" ca="1" si="9"/>
        <v>0.40408163265306124</v>
      </c>
      <c r="M107" s="181">
        <f t="shared" ca="1" si="9"/>
        <v>0.37714285714285717</v>
      </c>
      <c r="N107" s="181">
        <f t="shared" ca="1" si="9"/>
        <v>0.35357142857142859</v>
      </c>
      <c r="O107" s="181">
        <f t="shared" ca="1" si="9"/>
        <v>0.33277310924369752</v>
      </c>
      <c r="P107" s="181">
        <f t="shared" ca="1" si="9"/>
        <v>0.31428571428571428</v>
      </c>
      <c r="Q107" s="181">
        <f t="shared" ca="1" si="9"/>
        <v>0.29774436090225564</v>
      </c>
      <c r="R107" s="30"/>
    </row>
    <row r="108" spans="1:18" ht="13" x14ac:dyDescent="0.3">
      <c r="A108" s="41" t="s">
        <v>117</v>
      </c>
      <c r="B108" s="181">
        <f t="shared" ca="1" si="9"/>
        <v>1.9574999999999882</v>
      </c>
      <c r="C108" s="181">
        <f t="shared" ca="1" si="9"/>
        <v>1.5659999999999905</v>
      </c>
      <c r="D108" s="181">
        <f t="shared" ca="1" si="9"/>
        <v>1.3049999999999922</v>
      </c>
      <c r="E108" s="181">
        <f t="shared" ca="1" si="9"/>
        <v>1.1185714285714219</v>
      </c>
      <c r="F108" s="181">
        <f t="shared" ca="1" si="9"/>
        <v>0.97874999999999412</v>
      </c>
      <c r="G108" s="181">
        <f t="shared" ca="1" si="9"/>
        <v>0.86999999999999478</v>
      </c>
      <c r="H108" s="181">
        <f t="shared" ca="1" si="9"/>
        <v>0.78299999999999526</v>
      </c>
      <c r="I108" s="181">
        <f t="shared" ca="1" si="9"/>
        <v>0.71181818181817758</v>
      </c>
      <c r="J108" s="181">
        <f t="shared" ca="1" si="9"/>
        <v>0.65249999999999608</v>
      </c>
      <c r="K108" s="181">
        <f t="shared" ca="1" si="9"/>
        <v>0.60230769230768866</v>
      </c>
      <c r="L108" s="181">
        <f t="shared" ca="1" si="9"/>
        <v>0.55928571428571094</v>
      </c>
      <c r="M108" s="181">
        <f t="shared" ca="1" si="9"/>
        <v>0.52199999999999691</v>
      </c>
      <c r="N108" s="181">
        <f t="shared" ca="1" si="9"/>
        <v>0.48937499999999706</v>
      </c>
      <c r="O108" s="181">
        <f t="shared" ca="1" si="9"/>
        <v>0.46058823529411486</v>
      </c>
      <c r="P108" s="181">
        <f t="shared" ca="1" si="9"/>
        <v>0.43499999999999739</v>
      </c>
      <c r="Q108" s="181">
        <f t="shared" ca="1" si="9"/>
        <v>0.41210526315789225</v>
      </c>
      <c r="R108" s="30"/>
    </row>
    <row r="109" spans="1:18" ht="13" x14ac:dyDescent="0.3">
      <c r="A109" s="38" t="s">
        <v>88</v>
      </c>
      <c r="B109" s="181">
        <f t="shared" ca="1" si="9"/>
        <v>4.9949999999999886</v>
      </c>
      <c r="C109" s="181">
        <f t="shared" ca="1" si="9"/>
        <v>3.9959999999999907</v>
      </c>
      <c r="D109" s="181">
        <f t="shared" ca="1" si="9"/>
        <v>3.3299999999999925</v>
      </c>
      <c r="E109" s="181">
        <f t="shared" ca="1" si="9"/>
        <v>2.8542857142857079</v>
      </c>
      <c r="F109" s="181">
        <f t="shared" ca="1" si="9"/>
        <v>2.4974999999999943</v>
      </c>
      <c r="G109" s="181">
        <f t="shared" ca="1" si="9"/>
        <v>2.2199999999999949</v>
      </c>
      <c r="H109" s="181">
        <f t="shared" ca="1" si="9"/>
        <v>1.9979999999999953</v>
      </c>
      <c r="I109" s="181">
        <f t="shared" ca="1" si="9"/>
        <v>1.8163636363636322</v>
      </c>
      <c r="J109" s="181">
        <f t="shared" ca="1" si="9"/>
        <v>1.6649999999999963</v>
      </c>
      <c r="K109" s="181">
        <f t="shared" ca="1" si="9"/>
        <v>1.5369230769230735</v>
      </c>
      <c r="L109" s="181">
        <f t="shared" ca="1" si="9"/>
        <v>1.4271428571428539</v>
      </c>
      <c r="M109" s="181">
        <f t="shared" ca="1" si="9"/>
        <v>1.331999999999997</v>
      </c>
      <c r="N109" s="181">
        <f t="shared" ca="1" si="9"/>
        <v>1.2487499999999971</v>
      </c>
      <c r="O109" s="181">
        <f t="shared" ca="1" si="9"/>
        <v>1.1752941176470562</v>
      </c>
      <c r="P109" s="181">
        <f t="shared" ca="1" si="9"/>
        <v>1.1099999999999974</v>
      </c>
      <c r="Q109" s="181">
        <f t="shared" ca="1" si="9"/>
        <v>1.0515789473684187</v>
      </c>
      <c r="R109" s="30"/>
    </row>
    <row r="110" spans="1:18" ht="13" x14ac:dyDescent="0.3">
      <c r="A110" s="38" t="s">
        <v>118</v>
      </c>
      <c r="B110" s="181">
        <f t="shared" ca="1" si="9"/>
        <v>8.5050000000000132</v>
      </c>
      <c r="C110" s="181">
        <f t="shared" ca="1" si="9"/>
        <v>6.8040000000000109</v>
      </c>
      <c r="D110" s="181">
        <f t="shared" ca="1" si="9"/>
        <v>5.6700000000000088</v>
      </c>
      <c r="E110" s="181">
        <f t="shared" ca="1" si="9"/>
        <v>4.8600000000000074</v>
      </c>
      <c r="F110" s="181">
        <f t="shared" ca="1" si="9"/>
        <v>4.2525000000000066</v>
      </c>
      <c r="G110" s="181">
        <f t="shared" ca="1" si="9"/>
        <v>3.780000000000006</v>
      </c>
      <c r="H110" s="181">
        <f t="shared" ca="1" si="9"/>
        <v>3.4020000000000055</v>
      </c>
      <c r="I110" s="181">
        <f t="shared" ca="1" si="9"/>
        <v>3.0927272727272777</v>
      </c>
      <c r="J110" s="181">
        <f t="shared" ca="1" si="9"/>
        <v>2.8350000000000044</v>
      </c>
      <c r="K110" s="181">
        <f t="shared" ca="1" si="9"/>
        <v>2.6169230769230811</v>
      </c>
      <c r="L110" s="181">
        <f t="shared" ca="1" si="9"/>
        <v>2.4300000000000037</v>
      </c>
      <c r="M110" s="181">
        <f t="shared" ca="1" si="9"/>
        <v>2.2680000000000033</v>
      </c>
      <c r="N110" s="181">
        <f t="shared" ca="1" si="9"/>
        <v>2.1262500000000033</v>
      </c>
      <c r="O110" s="181">
        <f t="shared" ca="1" si="9"/>
        <v>2.0011764705882382</v>
      </c>
      <c r="P110" s="181">
        <f t="shared" ca="1" si="9"/>
        <v>1.890000000000003</v>
      </c>
      <c r="Q110" s="181">
        <f t="shared" ca="1" si="9"/>
        <v>1.7905263157894764</v>
      </c>
      <c r="R110" s="30"/>
    </row>
    <row r="111" spans="1:18" ht="13" x14ac:dyDescent="0.3">
      <c r="A111" s="41" t="s">
        <v>119</v>
      </c>
      <c r="B111" s="181">
        <f t="shared" ca="1" si="9"/>
        <v>9.7199999999999882</v>
      </c>
      <c r="C111" s="181">
        <f t="shared" ca="1" si="9"/>
        <v>7.7759999999999909</v>
      </c>
      <c r="D111" s="181">
        <f t="shared" ca="1" si="9"/>
        <v>6.4799999999999924</v>
      </c>
      <c r="E111" s="181">
        <f t="shared" ca="1" si="9"/>
        <v>5.5542857142857072</v>
      </c>
      <c r="F111" s="181">
        <f t="shared" ca="1" si="9"/>
        <v>4.8599999999999941</v>
      </c>
      <c r="G111" s="181">
        <f t="shared" ca="1" si="9"/>
        <v>4.319999999999995</v>
      </c>
      <c r="H111" s="181">
        <f t="shared" ca="1" si="9"/>
        <v>3.8879999999999955</v>
      </c>
      <c r="I111" s="181">
        <f t="shared" ca="1" si="9"/>
        <v>3.5345454545454502</v>
      </c>
      <c r="J111" s="181">
        <f t="shared" ca="1" si="9"/>
        <v>3.2399999999999962</v>
      </c>
      <c r="K111" s="181">
        <f t="shared" ca="1" si="9"/>
        <v>2.9907692307692271</v>
      </c>
      <c r="L111" s="181">
        <f t="shared" ca="1" si="9"/>
        <v>2.7771428571428536</v>
      </c>
      <c r="M111" s="181">
        <f t="shared" ca="1" si="9"/>
        <v>2.591999999999997</v>
      </c>
      <c r="N111" s="181">
        <f t="shared" ca="1" si="9"/>
        <v>2.4299999999999971</v>
      </c>
      <c r="O111" s="181">
        <f t="shared" ca="1" si="9"/>
        <v>2.2870588235294091</v>
      </c>
      <c r="P111" s="181">
        <f t="shared" ca="1" si="9"/>
        <v>2.1599999999999975</v>
      </c>
      <c r="Q111" s="181">
        <f t="shared" ca="1" si="9"/>
        <v>2.0463157894736819</v>
      </c>
      <c r="R111" s="30"/>
    </row>
    <row r="112" spans="1:18" ht="13" x14ac:dyDescent="0.3">
      <c r="A112" s="38" t="s">
        <v>86</v>
      </c>
      <c r="B112" s="181">
        <f t="shared" ca="1" si="9"/>
        <v>12.15</v>
      </c>
      <c r="C112" s="181">
        <f t="shared" ca="1" si="9"/>
        <v>9.7200000000000006</v>
      </c>
      <c r="D112" s="181">
        <f t="shared" ca="1" si="9"/>
        <v>8.1</v>
      </c>
      <c r="E112" s="181">
        <f t="shared" ca="1" si="9"/>
        <v>6.9428571428571431</v>
      </c>
      <c r="F112" s="181">
        <f t="shared" ca="1" si="9"/>
        <v>6.0750000000000002</v>
      </c>
      <c r="G112" s="181">
        <f t="shared" ca="1" si="9"/>
        <v>5.4</v>
      </c>
      <c r="H112" s="181">
        <f t="shared" ca="1" si="9"/>
        <v>4.8600000000000003</v>
      </c>
      <c r="I112" s="181">
        <f t="shared" ca="1" si="9"/>
        <v>4.418181818181818</v>
      </c>
      <c r="J112" s="181">
        <f t="shared" ca="1" si="9"/>
        <v>4.05</v>
      </c>
      <c r="K112" s="181">
        <f t="shared" ca="1" si="9"/>
        <v>3.7384615384615385</v>
      </c>
      <c r="L112" s="181">
        <f t="shared" ca="1" si="9"/>
        <v>3.4714285714285715</v>
      </c>
      <c r="M112" s="181">
        <f t="shared" ca="1" si="9"/>
        <v>3.24</v>
      </c>
      <c r="N112" s="181">
        <f t="shared" ca="1" si="9"/>
        <v>3.0375000000000001</v>
      </c>
      <c r="O112" s="181">
        <f t="shared" ca="1" si="9"/>
        <v>2.8588235294117648</v>
      </c>
      <c r="P112" s="181">
        <f t="shared" ca="1" si="9"/>
        <v>2.7</v>
      </c>
      <c r="Q112" s="181">
        <f t="shared" ca="1" si="9"/>
        <v>2.5578947368421052</v>
      </c>
      <c r="R112" s="30"/>
    </row>
    <row r="113" spans="1:18" ht="13" x14ac:dyDescent="0.3">
      <c r="A113" s="41" t="s">
        <v>120</v>
      </c>
      <c r="B113" s="181">
        <f t="shared" ca="1" si="9"/>
        <v>13.77</v>
      </c>
      <c r="C113" s="181">
        <f t="shared" ca="1" si="9"/>
        <v>11.016</v>
      </c>
      <c r="D113" s="181">
        <f t="shared" ca="1" si="9"/>
        <v>9.18</v>
      </c>
      <c r="E113" s="181">
        <f t="shared" ca="1" si="9"/>
        <v>7.8685714285714283</v>
      </c>
      <c r="F113" s="181">
        <f t="shared" ca="1" si="9"/>
        <v>6.8849999999999998</v>
      </c>
      <c r="G113" s="181">
        <f t="shared" ca="1" si="9"/>
        <v>6.12</v>
      </c>
      <c r="H113" s="181">
        <f t="shared" ca="1" si="9"/>
        <v>5.508</v>
      </c>
      <c r="I113" s="181">
        <f t="shared" ca="1" si="9"/>
        <v>5.0072727272727269</v>
      </c>
      <c r="J113" s="181">
        <f t="shared" ca="1" si="9"/>
        <v>4.59</v>
      </c>
      <c r="K113" s="181">
        <f t="shared" ca="1" si="9"/>
        <v>4.2369230769230768</v>
      </c>
      <c r="L113" s="181">
        <f t="shared" ca="1" si="9"/>
        <v>3.9342857142857142</v>
      </c>
      <c r="M113" s="181">
        <f t="shared" ca="1" si="9"/>
        <v>3.6719999999999997</v>
      </c>
      <c r="N113" s="181">
        <f t="shared" ca="1" si="9"/>
        <v>3.4424999999999999</v>
      </c>
      <c r="O113" s="181">
        <f t="shared" ca="1" si="9"/>
        <v>3.2399999999999998</v>
      </c>
      <c r="P113" s="181">
        <f t="shared" ca="1" si="9"/>
        <v>3.06</v>
      </c>
      <c r="Q113" s="181">
        <f t="shared" ca="1" si="9"/>
        <v>2.8989473684210525</v>
      </c>
      <c r="R113" s="30"/>
    </row>
    <row r="114" spans="1:18" ht="13" x14ac:dyDescent="0.3">
      <c r="A114" s="38" t="s">
        <v>121</v>
      </c>
      <c r="B114" s="181">
        <f t="shared" ca="1" si="9"/>
        <v>15.255000000000001</v>
      </c>
      <c r="C114" s="181">
        <f t="shared" ca="1" si="9"/>
        <v>12.204000000000001</v>
      </c>
      <c r="D114" s="181">
        <f t="shared" ca="1" si="9"/>
        <v>10.17</v>
      </c>
      <c r="E114" s="181">
        <f t="shared" ca="1" si="9"/>
        <v>8.7171428571428571</v>
      </c>
      <c r="F114" s="181">
        <f t="shared" ca="1" si="9"/>
        <v>7.6275000000000004</v>
      </c>
      <c r="G114" s="181">
        <f t="shared" ca="1" si="9"/>
        <v>6.78</v>
      </c>
      <c r="H114" s="181">
        <f t="shared" ca="1" si="9"/>
        <v>6.1020000000000003</v>
      </c>
      <c r="I114" s="181">
        <f t="shared" ca="1" si="9"/>
        <v>5.5472727272727278</v>
      </c>
      <c r="J114" s="181">
        <f t="shared" ca="1" si="9"/>
        <v>5.085</v>
      </c>
      <c r="K114" s="181">
        <f t="shared" ca="1" si="9"/>
        <v>4.6938461538461542</v>
      </c>
      <c r="L114" s="181">
        <f t="shared" ca="1" si="9"/>
        <v>4.3585714285714285</v>
      </c>
      <c r="M114" s="181">
        <f t="shared" ca="1" si="9"/>
        <v>4.0680000000000005</v>
      </c>
      <c r="N114" s="181">
        <f t="shared" ca="1" si="9"/>
        <v>3.8137500000000002</v>
      </c>
      <c r="O114" s="181">
        <f t="shared" ca="1" si="9"/>
        <v>3.5894117647058827</v>
      </c>
      <c r="P114" s="181">
        <f t="shared" ca="1" si="9"/>
        <v>3.39</v>
      </c>
      <c r="Q114" s="181">
        <f t="shared" ca="1" si="9"/>
        <v>3.2115789473684213</v>
      </c>
      <c r="R114" s="30"/>
    </row>
    <row r="115" spans="1:18" ht="13" x14ac:dyDescent="0.3">
      <c r="A115" s="38" t="s">
        <v>84</v>
      </c>
      <c r="B115" s="181">
        <f t="shared" ca="1" si="9"/>
        <v>19.305</v>
      </c>
      <c r="C115" s="181">
        <f t="shared" ca="1" si="9"/>
        <v>15.443999999999999</v>
      </c>
      <c r="D115" s="181">
        <f t="shared" ca="1" si="9"/>
        <v>12.87</v>
      </c>
      <c r="E115" s="181">
        <f t="shared" ca="1" si="9"/>
        <v>11.031428571428572</v>
      </c>
      <c r="F115" s="181">
        <f t="shared" ca="1" si="9"/>
        <v>9.6524999999999999</v>
      </c>
      <c r="G115" s="181">
        <f t="shared" ca="1" si="9"/>
        <v>8.58</v>
      </c>
      <c r="H115" s="181">
        <f t="shared" ca="1" si="9"/>
        <v>7.7219999999999995</v>
      </c>
      <c r="I115" s="181">
        <f t="shared" ca="1" si="9"/>
        <v>7.02</v>
      </c>
      <c r="J115" s="181">
        <f t="shared" ca="1" si="9"/>
        <v>6.4349999999999996</v>
      </c>
      <c r="K115" s="181">
        <f t="shared" ca="1" si="9"/>
        <v>5.9399999999999995</v>
      </c>
      <c r="L115" s="181">
        <f t="shared" ca="1" si="9"/>
        <v>5.515714285714286</v>
      </c>
      <c r="M115" s="181">
        <f t="shared" ca="1" si="9"/>
        <v>5.1479999999999997</v>
      </c>
      <c r="N115" s="181">
        <f t="shared" ca="1" si="9"/>
        <v>4.8262499999999999</v>
      </c>
      <c r="O115" s="181">
        <f t="shared" ca="1" si="9"/>
        <v>4.5423529411764703</v>
      </c>
      <c r="P115" s="181">
        <f t="shared" ca="1" si="9"/>
        <v>4.29</v>
      </c>
      <c r="Q115" s="181">
        <f t="shared" ref="Q115" ca="1" si="10">INDIRECT("$"&amp;$Q$81&amp;ROW(Q36))/Q$83</f>
        <v>4.0642105263157893</v>
      </c>
      <c r="R115" s="30"/>
    </row>
    <row r="116" spans="1:18" ht="13" x14ac:dyDescent="0.3">
      <c r="A116" s="41" t="s">
        <v>122</v>
      </c>
      <c r="B116" s="181">
        <f t="shared" ref="B116:Q118" ca="1" si="11">INDIRECT("$"&amp;$Q$81&amp;ROW(B37))/B$83</f>
        <v>20.79</v>
      </c>
      <c r="C116" s="181">
        <f t="shared" ca="1" si="11"/>
        <v>16.631999999999998</v>
      </c>
      <c r="D116" s="181">
        <f t="shared" ca="1" si="11"/>
        <v>13.86</v>
      </c>
      <c r="E116" s="181">
        <f t="shared" ca="1" si="11"/>
        <v>11.879999999999999</v>
      </c>
      <c r="F116" s="181">
        <f t="shared" ca="1" si="11"/>
        <v>10.395</v>
      </c>
      <c r="G116" s="181">
        <f t="shared" ca="1" si="11"/>
        <v>9.24</v>
      </c>
      <c r="H116" s="181">
        <f t="shared" ca="1" si="11"/>
        <v>8.3159999999999989</v>
      </c>
      <c r="I116" s="181">
        <f t="shared" ca="1" si="11"/>
        <v>7.56</v>
      </c>
      <c r="J116" s="181">
        <f t="shared" ca="1" si="11"/>
        <v>6.93</v>
      </c>
      <c r="K116" s="181">
        <f t="shared" ca="1" si="11"/>
        <v>6.3969230769230769</v>
      </c>
      <c r="L116" s="181">
        <f t="shared" ca="1" si="11"/>
        <v>5.9399999999999995</v>
      </c>
      <c r="M116" s="181">
        <f t="shared" ca="1" si="11"/>
        <v>5.5439999999999996</v>
      </c>
      <c r="N116" s="181">
        <f t="shared" ca="1" si="11"/>
        <v>5.1974999999999998</v>
      </c>
      <c r="O116" s="181">
        <f t="shared" ca="1" si="11"/>
        <v>4.8917647058823528</v>
      </c>
      <c r="P116" s="181">
        <f t="shared" ca="1" si="11"/>
        <v>4.62</v>
      </c>
      <c r="Q116" s="181">
        <f t="shared" ca="1" si="11"/>
        <v>4.3768421052631581</v>
      </c>
      <c r="R116" s="30"/>
    </row>
    <row r="117" spans="1:18" ht="13" x14ac:dyDescent="0.3">
      <c r="A117" s="41" t="s">
        <v>123</v>
      </c>
      <c r="B117" s="181">
        <f t="shared" ca="1" si="11"/>
        <v>24.84</v>
      </c>
      <c r="C117" s="181">
        <f t="shared" ca="1" si="11"/>
        <v>19.872</v>
      </c>
      <c r="D117" s="181">
        <f t="shared" ca="1" si="11"/>
        <v>16.559999999999999</v>
      </c>
      <c r="E117" s="181">
        <f t="shared" ca="1" si="11"/>
        <v>14.194285714285714</v>
      </c>
      <c r="F117" s="181">
        <f t="shared" ca="1" si="11"/>
        <v>12.42</v>
      </c>
      <c r="G117" s="181">
        <f t="shared" ca="1" si="11"/>
        <v>11.04</v>
      </c>
      <c r="H117" s="181">
        <f t="shared" ca="1" si="11"/>
        <v>9.9359999999999999</v>
      </c>
      <c r="I117" s="181">
        <f t="shared" ca="1" si="11"/>
        <v>9.0327272727272732</v>
      </c>
      <c r="J117" s="181">
        <f t="shared" ca="1" si="11"/>
        <v>8.2799999999999994</v>
      </c>
      <c r="K117" s="181">
        <f t="shared" ca="1" si="11"/>
        <v>7.6430769230769231</v>
      </c>
      <c r="L117" s="181">
        <f t="shared" ca="1" si="11"/>
        <v>7.097142857142857</v>
      </c>
      <c r="M117" s="181">
        <f t="shared" ca="1" si="11"/>
        <v>6.6239999999999997</v>
      </c>
      <c r="N117" s="181">
        <f t="shared" ca="1" si="11"/>
        <v>6.21</v>
      </c>
      <c r="O117" s="181">
        <f t="shared" ca="1" si="11"/>
        <v>5.8447058823529412</v>
      </c>
      <c r="P117" s="181">
        <f t="shared" ca="1" si="11"/>
        <v>5.52</v>
      </c>
      <c r="Q117" s="181">
        <f t="shared" ca="1" si="11"/>
        <v>5.2294736842105261</v>
      </c>
      <c r="R117" s="30"/>
    </row>
    <row r="118" spans="1:18" ht="13" x14ac:dyDescent="0.3">
      <c r="A118" s="38" t="s">
        <v>83</v>
      </c>
      <c r="B118" s="181">
        <f t="shared" ca="1" si="11"/>
        <v>26.055</v>
      </c>
      <c r="C118" s="181">
        <f t="shared" ca="1" si="11"/>
        <v>20.844000000000001</v>
      </c>
      <c r="D118" s="181">
        <f t="shared" ca="1" si="11"/>
        <v>17.37</v>
      </c>
      <c r="E118" s="181">
        <f t="shared" ca="1" si="11"/>
        <v>14.888571428571428</v>
      </c>
      <c r="F118" s="181">
        <f t="shared" ca="1" si="11"/>
        <v>13.0275</v>
      </c>
      <c r="G118" s="181">
        <f t="shared" ca="1" si="11"/>
        <v>11.58</v>
      </c>
      <c r="H118" s="181">
        <f t="shared" ca="1" si="11"/>
        <v>10.422000000000001</v>
      </c>
      <c r="I118" s="181">
        <f t="shared" ca="1" si="11"/>
        <v>9.4745454545454546</v>
      </c>
      <c r="J118" s="181">
        <f t="shared" ca="1" si="11"/>
        <v>8.6850000000000005</v>
      </c>
      <c r="K118" s="181">
        <f t="shared" ca="1" si="11"/>
        <v>8.0169230769230762</v>
      </c>
      <c r="L118" s="181">
        <f t="shared" ca="1" si="11"/>
        <v>7.444285714285714</v>
      </c>
      <c r="M118" s="181">
        <f t="shared" ca="1" si="11"/>
        <v>6.9479999999999995</v>
      </c>
      <c r="N118" s="181">
        <f t="shared" ca="1" si="11"/>
        <v>6.5137499999999999</v>
      </c>
      <c r="O118" s="181">
        <f t="shared" ca="1" si="11"/>
        <v>6.1305882352941179</v>
      </c>
      <c r="P118" s="181">
        <f t="shared" ca="1" si="11"/>
        <v>5.79</v>
      </c>
      <c r="Q118" s="181">
        <f t="shared" ca="1" si="11"/>
        <v>5.4852631578947371</v>
      </c>
      <c r="R118" s="30"/>
    </row>
    <row r="119" spans="1:18" s="59" customFormat="1" ht="17.25" customHeight="1" x14ac:dyDescent="0.35">
      <c r="A119" s="56" t="str">
        <f>A83</f>
        <v>SPEED (knots)</v>
      </c>
      <c r="B119" s="57">
        <f t="shared" ref="B119:Q119" si="12">B83</f>
        <v>8</v>
      </c>
      <c r="C119" s="57">
        <f t="shared" si="12"/>
        <v>10</v>
      </c>
      <c r="D119" s="57">
        <f t="shared" si="12"/>
        <v>12</v>
      </c>
      <c r="E119" s="57">
        <f t="shared" si="12"/>
        <v>14</v>
      </c>
      <c r="F119" s="57">
        <f t="shared" si="12"/>
        <v>16</v>
      </c>
      <c r="G119" s="57">
        <f t="shared" si="12"/>
        <v>18</v>
      </c>
      <c r="H119" s="57">
        <f t="shared" si="12"/>
        <v>20</v>
      </c>
      <c r="I119" s="57">
        <f t="shared" si="12"/>
        <v>22</v>
      </c>
      <c r="J119" s="57">
        <f t="shared" si="12"/>
        <v>24</v>
      </c>
      <c r="K119" s="57">
        <f t="shared" si="12"/>
        <v>26</v>
      </c>
      <c r="L119" s="57">
        <f t="shared" si="12"/>
        <v>28</v>
      </c>
      <c r="M119" s="57">
        <f t="shared" si="12"/>
        <v>30</v>
      </c>
      <c r="N119" s="57">
        <f t="shared" si="12"/>
        <v>32</v>
      </c>
      <c r="O119" s="57">
        <f t="shared" si="12"/>
        <v>34</v>
      </c>
      <c r="P119" s="57">
        <f t="shared" si="12"/>
        <v>36</v>
      </c>
      <c r="Q119" s="57">
        <f t="shared" si="12"/>
        <v>38</v>
      </c>
      <c r="R119" s="58"/>
    </row>
    <row r="120" spans="1:18" x14ac:dyDescent="0.2"/>
    <row r="121" spans="1:18" ht="10.5" x14ac:dyDescent="0.25">
      <c r="A121" s="32"/>
      <c r="B121" s="36" t="s">
        <v>128</v>
      </c>
      <c r="C121" s="36"/>
      <c r="D121" s="36"/>
      <c r="E121" s="36"/>
      <c r="F121" s="36"/>
      <c r="G121" s="36"/>
      <c r="H121" s="36"/>
      <c r="I121" s="36"/>
      <c r="J121" s="36" t="s">
        <v>265</v>
      </c>
      <c r="K121" s="36"/>
      <c r="L121" s="36"/>
      <c r="M121" s="36"/>
      <c r="N121" s="36"/>
      <c r="O121" s="36"/>
      <c r="P121" s="36"/>
      <c r="Q121" s="36"/>
      <c r="R121" s="30"/>
    </row>
    <row r="122" spans="1:18" ht="15.75" customHeight="1" x14ac:dyDescent="0.25">
      <c r="A122" s="32"/>
      <c r="B122" s="36" t="s">
        <v>83</v>
      </c>
      <c r="C122" s="36" t="s">
        <v>84</v>
      </c>
      <c r="D122" s="36" t="s">
        <v>85</v>
      </c>
      <c r="E122" s="36" t="s">
        <v>86</v>
      </c>
      <c r="F122" s="36" t="s">
        <v>87</v>
      </c>
      <c r="G122" s="36" t="s">
        <v>88</v>
      </c>
      <c r="H122" s="36" t="s">
        <v>89</v>
      </c>
      <c r="I122" s="36" t="s">
        <v>90</v>
      </c>
      <c r="J122" s="36" t="s">
        <v>91</v>
      </c>
      <c r="K122" s="36" t="s">
        <v>92</v>
      </c>
      <c r="L122" s="36" t="s">
        <v>93</v>
      </c>
      <c r="M122" s="36" t="s">
        <v>94</v>
      </c>
      <c r="N122" s="36" t="s">
        <v>95</v>
      </c>
      <c r="O122" s="36" t="s">
        <v>96</v>
      </c>
      <c r="P122" s="36" t="s">
        <v>97</v>
      </c>
      <c r="Q122" s="36" t="s">
        <v>98</v>
      </c>
      <c r="R122" s="30"/>
    </row>
    <row r="123" spans="1:18" ht="10.5" x14ac:dyDescent="0.25">
      <c r="A123" s="32"/>
      <c r="B123" s="36" t="s">
        <v>251</v>
      </c>
      <c r="C123" s="36" t="s">
        <v>249</v>
      </c>
      <c r="D123" s="36" t="s">
        <v>252</v>
      </c>
      <c r="E123" s="36" t="s">
        <v>253</v>
      </c>
      <c r="F123" s="36" t="s">
        <v>254</v>
      </c>
      <c r="G123" s="36" t="s">
        <v>255</v>
      </c>
      <c r="H123" s="36" t="s">
        <v>256</v>
      </c>
      <c r="I123" s="36" t="s">
        <v>257</v>
      </c>
      <c r="J123" s="36" t="s">
        <v>258</v>
      </c>
      <c r="K123" s="36" t="s">
        <v>259</v>
      </c>
      <c r="L123" s="36" t="s">
        <v>260</v>
      </c>
      <c r="M123" s="36" t="s">
        <v>248</v>
      </c>
      <c r="N123" s="36" t="s">
        <v>261</v>
      </c>
      <c r="O123" s="36" t="s">
        <v>262</v>
      </c>
      <c r="P123" s="36" t="s">
        <v>263</v>
      </c>
      <c r="Q123" s="36" t="s">
        <v>264</v>
      </c>
      <c r="R123" s="30"/>
    </row>
  </sheetData>
  <sheetProtection algorithmName="SHA-512" hashValue="EpbPV8BXU+7AoX8bHoE85p7JPsCN11eci2g0i6tQNu2a+EhhVkpgsriSIVTJEblpZv2PxkNVEaS6JUn0CdnVsg==" saltValue="ioPGwwXTpQxJ5TTGEQKdEA==" spinCount="100000" sheet="1" objects="1" scenarios="1"/>
  <conditionalFormatting sqref="B84:Q118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0"/>
  <sheetViews>
    <sheetView workbookViewId="0">
      <selection activeCell="B10" sqref="B10"/>
    </sheetView>
  </sheetViews>
  <sheetFormatPr defaultColWidth="0" defaultRowHeight="14" zeroHeight="1" x14ac:dyDescent="0.35"/>
  <cols>
    <col min="1" max="1" width="12.26953125" style="29" customWidth="1"/>
    <col min="2" max="2" width="9.6328125" style="3" customWidth="1"/>
    <col min="3" max="3" width="21.6328125" style="29" customWidth="1"/>
    <col min="4" max="4" width="3.6328125" style="3" customWidth="1"/>
    <col min="5" max="5" width="21.81640625" style="3" customWidth="1"/>
    <col min="6" max="6" width="3.7265625" style="3" customWidth="1"/>
    <col min="7" max="7" width="6.54296875" style="3" customWidth="1"/>
    <col min="8" max="8" width="2.1796875" style="29" customWidth="1"/>
    <col min="9" max="9" width="10.7265625" style="3" customWidth="1"/>
    <col min="10" max="10" width="2.7265625" style="29" customWidth="1"/>
    <col min="11" max="11" width="7.90625" style="29" customWidth="1"/>
    <col min="12" max="12" width="21.81640625" style="3" customWidth="1"/>
    <col min="13" max="38" width="21.81640625" style="3" hidden="1" customWidth="1"/>
    <col min="39" max="39" width="4.54296875" style="3" customWidth="1"/>
    <col min="40" max="40" width="25" style="3" customWidth="1"/>
    <col min="41" max="16384" width="9.1796875" style="3" hidden="1"/>
  </cols>
  <sheetData>
    <row r="1" spans="1:39" ht="20" x14ac:dyDescent="0.35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AM1" s="2"/>
    </row>
    <row r="2" spans="1:39" ht="25" x14ac:dyDescent="0.35">
      <c r="A2" s="1"/>
      <c r="B2" s="2"/>
      <c r="C2" s="2"/>
      <c r="D2" s="2"/>
      <c r="E2" s="2"/>
      <c r="F2" s="2"/>
      <c r="G2" s="4" t="str">
        <f>IF(AND($O$22=1,R3=1),"Hours"," ")</f>
        <v xml:space="preserve"> </v>
      </c>
      <c r="H2" s="5"/>
      <c r="I2" s="5" t="str">
        <f>IF(AND($O$22=1,R3=1),"ETAbeam"," ")</f>
        <v xml:space="preserve"> </v>
      </c>
      <c r="J2" s="5"/>
      <c r="K2" s="6" t="s">
        <v>0</v>
      </c>
      <c r="L2" s="7" t="s">
        <v>1</v>
      </c>
      <c r="AK2" s="3">
        <v>0</v>
      </c>
      <c r="AM2" s="8"/>
    </row>
    <row r="3" spans="1:39" x14ac:dyDescent="0.35">
      <c r="A3" s="2"/>
      <c r="B3" s="2"/>
      <c r="C3" s="2"/>
      <c r="D3" s="2"/>
      <c r="E3" s="2"/>
      <c r="F3" s="2"/>
      <c r="G3" s="4" t="str">
        <f>IF(R3=1,INT(ABS(T3)*2+0.5)/2,IF(AND($O$22=1,R4=1),"Hours"," "))</f>
        <v xml:space="preserve"> </v>
      </c>
      <c r="H3" s="5"/>
      <c r="I3" s="5" t="str">
        <f>IF(R3=1,TEXT(AE3,"00")&amp;"   "&amp;TEXT(AJ3,"0000"),IF(AND($O$22=1,R4=1),"ETAbeam"," "))</f>
        <v xml:space="preserve"> </v>
      </c>
      <c r="J3" s="5" t="str">
        <f>IF(AL3=1,IF($O$24&lt;0,"v","^"),"")</f>
        <v/>
      </c>
      <c r="K3" s="9">
        <v>1</v>
      </c>
      <c r="L3" s="10" t="s">
        <v>2</v>
      </c>
      <c r="M3" s="11">
        <v>588.24</v>
      </c>
      <c r="R3" s="3">
        <f>IF($O$22=1,IF(OR(AND(K3&gt;=$B$18,K3&lt;=$B$20),AND(K3&lt;=$B$18,K3&gt;=$B$20)),1,0),0)</f>
        <v>0</v>
      </c>
      <c r="S3" s="3">
        <f>IF(R3=1,M3-$O$18,0)</f>
        <v>0</v>
      </c>
      <c r="T3" s="3">
        <f>IF(R3=1,ABS(S3/$B$22),0)</f>
        <v>0</v>
      </c>
      <c r="U3" s="3">
        <f t="shared" ref="U3:U37" si="0">IF(R3=1,INT(ABS(T3)),0)</f>
        <v>0</v>
      </c>
      <c r="V3" s="3">
        <f t="shared" ref="V3:V37" si="1">IF(R3=1,INT((T3-U3)*60+0.5),0)</f>
        <v>0</v>
      </c>
      <c r="W3" s="3">
        <f t="shared" ref="W3:W37" si="2">INT(($P$16+V3)/15+0.5)*15</f>
        <v>0</v>
      </c>
      <c r="X3" s="3">
        <f t="shared" ref="X3:X37" si="3">INT(W3/60)</f>
        <v>0</v>
      </c>
      <c r="Y3" s="3">
        <f t="shared" ref="Y3:Y37" si="4">W3-X3*60</f>
        <v>0</v>
      </c>
      <c r="Z3" s="3">
        <f t="shared" ref="Z3:Z37" si="5">X3+U3+$O$16</f>
        <v>0</v>
      </c>
      <c r="AA3" s="3">
        <f t="shared" ref="AA3:AA37" si="6">INT(Z3/24)</f>
        <v>0</v>
      </c>
      <c r="AB3" s="3">
        <f t="shared" ref="AB3:AB37" si="7">Z3-AA3*24</f>
        <v>0</v>
      </c>
      <c r="AC3" s="3">
        <f t="shared" ref="AC3:AC37" si="8">AA3+$B$14</f>
        <v>0</v>
      </c>
      <c r="AD3" s="3">
        <f t="shared" ref="AD3:AD37" si="9">IF(AC3&gt;$N$13,1,0)</f>
        <v>0</v>
      </c>
      <c r="AE3" s="3">
        <f t="shared" ref="AE3:AE37" si="10">IF(AC3&gt;$N$13,AC3-$N$13,AC3)</f>
        <v>0</v>
      </c>
      <c r="AF3" s="3">
        <f t="shared" ref="AF3:AF37" si="11">AD3+$B$12</f>
        <v>0</v>
      </c>
      <c r="AG3" s="3">
        <f t="shared" ref="AG3:AG37" si="12">IF(AF3&gt;12,1,0)</f>
        <v>0</v>
      </c>
      <c r="AH3" s="3">
        <f t="shared" ref="AH3:AH37" si="13">IF(AF3&gt;12,AF3-12,AF3)</f>
        <v>0</v>
      </c>
      <c r="AI3" s="3">
        <f t="shared" ref="AI3:AI37" si="14">AG3+$B$10</f>
        <v>0</v>
      </c>
      <c r="AJ3" s="3">
        <f t="shared" ref="AJ3:AJ37" si="15">AB3*100+Y3</f>
        <v>0</v>
      </c>
      <c r="AK3" s="3">
        <f>IF($N$36=1,IF(R3=1,1,0),0)</f>
        <v>0</v>
      </c>
      <c r="AL3" s="3">
        <f>IF(AK3=1,IF(AK2=1,IF(AK4=1,IF(OR(OR(AND($N$27&gt;=T2,$N$27&lt;T3),AND($N$27&lt;T2,$N$27&gt;=T3)),OR(AND($N$27&gt;=T3,$N$27&lt;T4),AND($N$27&lt;T3,$N$27&gt;=T4))),1,0),IF(AK2=1,IF(OR(AND($N$27&gt;=T2,$N$27&lt;T3),AND($N$27&lt;T2,$N$27&gt;=T3)),1,0),0)),IF(AK4=1,IF(OR(AND($N$27&gt;=T3,$N$27&lt;T4),AND($N$27&lt;T3,$N$27&gt;=T4)),1,0),0)),0)</f>
        <v>0</v>
      </c>
      <c r="AM3" s="2"/>
    </row>
    <row r="4" spans="1:39" x14ac:dyDescent="0.35">
      <c r="A4" s="5" t="s">
        <v>3</v>
      </c>
      <c r="B4" s="623"/>
      <c r="C4" s="624"/>
      <c r="D4" s="624"/>
      <c r="E4" s="625"/>
      <c r="F4" s="2"/>
      <c r="G4" s="4" t="str">
        <f t="shared" ref="G4:G37" si="16">IF(R4=1,INT(ABS(T4)*2+0.5)/2,IF(AND($O$22=1,R5=1),"Hours"," "))</f>
        <v xml:space="preserve"> </v>
      </c>
      <c r="H4" s="5"/>
      <c r="I4" s="5" t="str">
        <f t="shared" ref="I4:I37" si="17">IF(R4=1,TEXT(AE4,"00")&amp;"   "&amp;TEXT(AJ4,"0000"),IF(AND($O$22=1,R5=1),"ETAbeam"," "))</f>
        <v xml:space="preserve"> </v>
      </c>
      <c r="J4" s="5" t="str">
        <f t="shared" ref="J4:J37" si="18">IF(AL4=1,IF($O$24&lt;0,"v","^"),"")</f>
        <v/>
      </c>
      <c r="K4" s="12">
        <v>2</v>
      </c>
      <c r="L4" s="13" t="s">
        <v>4</v>
      </c>
      <c r="M4" s="11">
        <v>575.64</v>
      </c>
      <c r="R4" s="3">
        <f t="shared" ref="R4:R37" si="19">IF($O$22=1,IF(OR(AND(K4&gt;=$B$18,K4&lt;=$B$20),AND(K4&lt;=$B$18,K4&gt;=$B$20)),1,0),0)</f>
        <v>0</v>
      </c>
      <c r="S4" s="3">
        <f t="shared" ref="S4:S37" si="20">IF(R4=1,M4-$O$18,0)</f>
        <v>0</v>
      </c>
      <c r="T4" s="3">
        <f t="shared" ref="T4:T37" si="21">IF(R4=1,ABS(S4/$B$22),0)</f>
        <v>0</v>
      </c>
      <c r="U4" s="3">
        <f t="shared" si="0"/>
        <v>0</v>
      </c>
      <c r="V4" s="3">
        <f t="shared" si="1"/>
        <v>0</v>
      </c>
      <c r="W4" s="3">
        <f t="shared" si="2"/>
        <v>0</v>
      </c>
      <c r="X4" s="3">
        <f t="shared" si="3"/>
        <v>0</v>
      </c>
      <c r="Y4" s="3">
        <f t="shared" si="4"/>
        <v>0</v>
      </c>
      <c r="Z4" s="3">
        <f t="shared" si="5"/>
        <v>0</v>
      </c>
      <c r="AA4" s="3">
        <f t="shared" si="6"/>
        <v>0</v>
      </c>
      <c r="AB4" s="3">
        <f t="shared" si="7"/>
        <v>0</v>
      </c>
      <c r="AC4" s="3">
        <f t="shared" si="8"/>
        <v>0</v>
      </c>
      <c r="AD4" s="3">
        <f t="shared" si="9"/>
        <v>0</v>
      </c>
      <c r="AE4" s="3">
        <f t="shared" si="10"/>
        <v>0</v>
      </c>
      <c r="AF4" s="3">
        <f t="shared" si="11"/>
        <v>0</v>
      </c>
      <c r="AG4" s="3">
        <f t="shared" si="12"/>
        <v>0</v>
      </c>
      <c r="AH4" s="3">
        <f t="shared" si="13"/>
        <v>0</v>
      </c>
      <c r="AI4" s="3">
        <f t="shared" si="14"/>
        <v>0</v>
      </c>
      <c r="AJ4" s="3">
        <f t="shared" si="15"/>
        <v>0</v>
      </c>
      <c r="AK4" s="3">
        <f>IF($N$36=1,IF(R4=1,1,0),0)</f>
        <v>0</v>
      </c>
      <c r="AL4" s="3">
        <f t="shared" ref="AL4:AL37" si="22">IF(AK4=1,IF(AK3=1,IF(AK5=1,IF(OR(OR(AND($N$27&gt;=T3,$N$27&lt;T4),AND($N$27&lt;T3,$N$27&gt;=T4)),OR(AND($N$27&gt;=T4,$N$27&lt;T5),AND($N$27&lt;T4,$N$27&gt;=T5))),1,0),IF(AK3=1,IF(OR(AND($N$27&gt;=T3,$N$27&lt;T4),AND($N$27&lt;T3,$N$27&gt;=T4)),1,0),0)),IF(AK5=1,IF(OR(AND($N$27&gt;=T4,$N$27&lt;T5),AND($N$27&lt;T4,$N$27&gt;=T5)),1,0),0)),0)</f>
        <v>0</v>
      </c>
      <c r="AM4" s="5"/>
    </row>
    <row r="5" spans="1:39" x14ac:dyDescent="0.35">
      <c r="A5" s="5"/>
      <c r="B5" s="2"/>
      <c r="C5" s="5"/>
      <c r="D5" s="2"/>
      <c r="E5" s="2"/>
      <c r="F5" s="2"/>
      <c r="G5" s="4" t="str">
        <f t="shared" si="16"/>
        <v xml:space="preserve"> </v>
      </c>
      <c r="H5" s="5"/>
      <c r="I5" s="5" t="str">
        <f t="shared" si="17"/>
        <v xml:space="preserve"> </v>
      </c>
      <c r="J5" s="5" t="str">
        <f t="shared" si="18"/>
        <v/>
      </c>
      <c r="K5" s="12">
        <v>3</v>
      </c>
      <c r="L5" s="13" t="s">
        <v>5</v>
      </c>
      <c r="M5" s="11">
        <v>570.24</v>
      </c>
      <c r="R5" s="3">
        <f t="shared" si="19"/>
        <v>0</v>
      </c>
      <c r="S5" s="3">
        <f t="shared" si="20"/>
        <v>0</v>
      </c>
      <c r="T5" s="3">
        <f t="shared" si="21"/>
        <v>0</v>
      </c>
      <c r="U5" s="3">
        <f t="shared" si="0"/>
        <v>0</v>
      </c>
      <c r="V5" s="3">
        <f t="shared" si="1"/>
        <v>0</v>
      </c>
      <c r="W5" s="3">
        <f t="shared" si="2"/>
        <v>0</v>
      </c>
      <c r="X5" s="3">
        <f t="shared" si="3"/>
        <v>0</v>
      </c>
      <c r="Y5" s="3">
        <f t="shared" si="4"/>
        <v>0</v>
      </c>
      <c r="Z5" s="3">
        <f t="shared" si="5"/>
        <v>0</v>
      </c>
      <c r="AA5" s="3">
        <f t="shared" si="6"/>
        <v>0</v>
      </c>
      <c r="AB5" s="3">
        <f t="shared" si="7"/>
        <v>0</v>
      </c>
      <c r="AC5" s="3">
        <f t="shared" si="8"/>
        <v>0</v>
      </c>
      <c r="AD5" s="3">
        <f t="shared" si="9"/>
        <v>0</v>
      </c>
      <c r="AE5" s="3">
        <f t="shared" si="10"/>
        <v>0</v>
      </c>
      <c r="AF5" s="3">
        <f t="shared" si="11"/>
        <v>0</v>
      </c>
      <c r="AG5" s="3">
        <f t="shared" si="12"/>
        <v>0</v>
      </c>
      <c r="AH5" s="3">
        <f t="shared" si="13"/>
        <v>0</v>
      </c>
      <c r="AI5" s="3">
        <f t="shared" si="14"/>
        <v>0</v>
      </c>
      <c r="AJ5" s="3">
        <f t="shared" si="15"/>
        <v>0</v>
      </c>
      <c r="AK5" s="3">
        <f t="shared" ref="AK5:AK37" si="23">IF($N$36=1,IF(R5=1,1,0),0)</f>
        <v>0</v>
      </c>
      <c r="AL5" s="3">
        <f t="shared" si="22"/>
        <v>0</v>
      </c>
      <c r="AM5" s="5"/>
    </row>
    <row r="6" spans="1:39" x14ac:dyDescent="0.35">
      <c r="A6" s="5" t="s">
        <v>6</v>
      </c>
      <c r="B6" s="623"/>
      <c r="C6" s="624"/>
      <c r="D6" s="624"/>
      <c r="E6" s="625"/>
      <c r="F6" s="2"/>
      <c r="G6" s="4" t="str">
        <f t="shared" si="16"/>
        <v xml:space="preserve"> </v>
      </c>
      <c r="H6" s="5"/>
      <c r="I6" s="5" t="str">
        <f t="shared" si="17"/>
        <v xml:space="preserve"> </v>
      </c>
      <c r="J6" s="5" t="str">
        <f t="shared" si="18"/>
        <v/>
      </c>
      <c r="K6" s="14">
        <v>4</v>
      </c>
      <c r="L6" s="15" t="s">
        <v>7</v>
      </c>
      <c r="M6" s="11">
        <v>553</v>
      </c>
      <c r="R6" s="3">
        <f t="shared" si="19"/>
        <v>0</v>
      </c>
      <c r="S6" s="3">
        <f t="shared" si="20"/>
        <v>0</v>
      </c>
      <c r="T6" s="3">
        <f t="shared" si="21"/>
        <v>0</v>
      </c>
      <c r="U6" s="3">
        <f t="shared" si="0"/>
        <v>0</v>
      </c>
      <c r="V6" s="3">
        <f t="shared" si="1"/>
        <v>0</v>
      </c>
      <c r="W6" s="3">
        <f t="shared" si="2"/>
        <v>0</v>
      </c>
      <c r="X6" s="3">
        <f t="shared" si="3"/>
        <v>0</v>
      </c>
      <c r="Y6" s="3">
        <f t="shared" si="4"/>
        <v>0</v>
      </c>
      <c r="Z6" s="3">
        <f t="shared" si="5"/>
        <v>0</v>
      </c>
      <c r="AA6" s="3">
        <f t="shared" si="6"/>
        <v>0</v>
      </c>
      <c r="AB6" s="3">
        <f t="shared" si="7"/>
        <v>0</v>
      </c>
      <c r="AC6" s="3">
        <f t="shared" si="8"/>
        <v>0</v>
      </c>
      <c r="AD6" s="3">
        <f t="shared" si="9"/>
        <v>0</v>
      </c>
      <c r="AE6" s="3">
        <f t="shared" si="10"/>
        <v>0</v>
      </c>
      <c r="AF6" s="3">
        <f t="shared" si="11"/>
        <v>0</v>
      </c>
      <c r="AG6" s="3">
        <f t="shared" si="12"/>
        <v>0</v>
      </c>
      <c r="AH6" s="3">
        <f t="shared" si="13"/>
        <v>0</v>
      </c>
      <c r="AI6" s="3">
        <f t="shared" si="14"/>
        <v>0</v>
      </c>
      <c r="AJ6" s="3">
        <f t="shared" si="15"/>
        <v>0</v>
      </c>
      <c r="AK6" s="3">
        <f t="shared" si="23"/>
        <v>0</v>
      </c>
      <c r="AL6" s="3">
        <f t="shared" si="22"/>
        <v>0</v>
      </c>
      <c r="AM6" s="5"/>
    </row>
    <row r="7" spans="1:39" x14ac:dyDescent="0.35">
      <c r="A7" s="5"/>
      <c r="B7" s="2"/>
      <c r="C7" s="5"/>
      <c r="D7" s="2"/>
      <c r="E7" s="2"/>
      <c r="F7" s="2"/>
      <c r="G7" s="4" t="str">
        <f t="shared" si="16"/>
        <v xml:space="preserve"> </v>
      </c>
      <c r="H7" s="5"/>
      <c r="I7" s="5" t="str">
        <f t="shared" si="17"/>
        <v xml:space="preserve"> </v>
      </c>
      <c r="J7" s="5" t="str">
        <f t="shared" si="18"/>
        <v/>
      </c>
      <c r="K7" s="14">
        <v>5</v>
      </c>
      <c r="L7" s="15" t="s">
        <v>8</v>
      </c>
      <c r="M7" s="11">
        <v>546.48</v>
      </c>
      <c r="R7" s="3">
        <f t="shared" si="19"/>
        <v>0</v>
      </c>
      <c r="S7" s="3">
        <f t="shared" si="20"/>
        <v>0</v>
      </c>
      <c r="T7" s="3">
        <f t="shared" si="21"/>
        <v>0</v>
      </c>
      <c r="U7" s="3">
        <f t="shared" si="0"/>
        <v>0</v>
      </c>
      <c r="V7" s="3">
        <f t="shared" si="1"/>
        <v>0</v>
      </c>
      <c r="W7" s="3">
        <f t="shared" si="2"/>
        <v>0</v>
      </c>
      <c r="X7" s="3">
        <f t="shared" si="3"/>
        <v>0</v>
      </c>
      <c r="Y7" s="3">
        <f t="shared" si="4"/>
        <v>0</v>
      </c>
      <c r="Z7" s="3">
        <f t="shared" si="5"/>
        <v>0</v>
      </c>
      <c r="AA7" s="3">
        <f t="shared" si="6"/>
        <v>0</v>
      </c>
      <c r="AB7" s="3">
        <f t="shared" si="7"/>
        <v>0</v>
      </c>
      <c r="AC7" s="3">
        <f t="shared" si="8"/>
        <v>0</v>
      </c>
      <c r="AD7" s="3">
        <f t="shared" si="9"/>
        <v>0</v>
      </c>
      <c r="AE7" s="3">
        <f t="shared" si="10"/>
        <v>0</v>
      </c>
      <c r="AF7" s="3">
        <f t="shared" si="11"/>
        <v>0</v>
      </c>
      <c r="AG7" s="3">
        <f t="shared" si="12"/>
        <v>0</v>
      </c>
      <c r="AH7" s="3">
        <f t="shared" si="13"/>
        <v>0</v>
      </c>
      <c r="AI7" s="3">
        <f t="shared" si="14"/>
        <v>0</v>
      </c>
      <c r="AJ7" s="3">
        <f t="shared" si="15"/>
        <v>0</v>
      </c>
      <c r="AK7" s="3">
        <f t="shared" si="23"/>
        <v>0</v>
      </c>
      <c r="AL7" s="3">
        <f t="shared" si="22"/>
        <v>0</v>
      </c>
      <c r="AM7" s="5"/>
    </row>
    <row r="8" spans="1:39" x14ac:dyDescent="0.35">
      <c r="A8" s="16" t="s">
        <v>9</v>
      </c>
      <c r="B8" s="2"/>
      <c r="C8" s="5"/>
      <c r="D8" s="2"/>
      <c r="E8" s="2"/>
      <c r="F8" s="2"/>
      <c r="G8" s="4" t="str">
        <f t="shared" si="16"/>
        <v xml:space="preserve"> </v>
      </c>
      <c r="H8" s="5"/>
      <c r="I8" s="5" t="str">
        <f t="shared" si="17"/>
        <v xml:space="preserve"> </v>
      </c>
      <c r="J8" s="5" t="str">
        <f t="shared" si="18"/>
        <v/>
      </c>
      <c r="K8" s="12">
        <v>6</v>
      </c>
      <c r="L8" s="13" t="s">
        <v>10</v>
      </c>
      <c r="M8" s="11">
        <v>530.28</v>
      </c>
      <c r="R8" s="3">
        <f t="shared" si="19"/>
        <v>0</v>
      </c>
      <c r="S8" s="3">
        <f t="shared" si="20"/>
        <v>0</v>
      </c>
      <c r="T8" s="3">
        <f t="shared" si="21"/>
        <v>0</v>
      </c>
      <c r="U8" s="3">
        <f t="shared" si="0"/>
        <v>0</v>
      </c>
      <c r="V8" s="3">
        <f t="shared" si="1"/>
        <v>0</v>
      </c>
      <c r="W8" s="3">
        <f t="shared" si="2"/>
        <v>0</v>
      </c>
      <c r="X8" s="3">
        <f t="shared" si="3"/>
        <v>0</v>
      </c>
      <c r="Y8" s="3">
        <f t="shared" si="4"/>
        <v>0</v>
      </c>
      <c r="Z8" s="3">
        <f t="shared" si="5"/>
        <v>0</v>
      </c>
      <c r="AA8" s="3">
        <f t="shared" si="6"/>
        <v>0</v>
      </c>
      <c r="AB8" s="3">
        <f t="shared" si="7"/>
        <v>0</v>
      </c>
      <c r="AC8" s="3">
        <f t="shared" si="8"/>
        <v>0</v>
      </c>
      <c r="AD8" s="3">
        <f t="shared" si="9"/>
        <v>0</v>
      </c>
      <c r="AE8" s="3">
        <f t="shared" si="10"/>
        <v>0</v>
      </c>
      <c r="AF8" s="3">
        <f t="shared" si="11"/>
        <v>0</v>
      </c>
      <c r="AG8" s="3">
        <f t="shared" si="12"/>
        <v>0</v>
      </c>
      <c r="AH8" s="3">
        <f t="shared" si="13"/>
        <v>0</v>
      </c>
      <c r="AI8" s="3">
        <f t="shared" si="14"/>
        <v>0</v>
      </c>
      <c r="AJ8" s="3">
        <f t="shared" si="15"/>
        <v>0</v>
      </c>
      <c r="AK8" s="3">
        <f t="shared" si="23"/>
        <v>0</v>
      </c>
      <c r="AL8" s="3">
        <f t="shared" si="22"/>
        <v>0</v>
      </c>
      <c r="AM8" s="16"/>
    </row>
    <row r="9" spans="1:39" ht="14.5" thickBot="1" x14ac:dyDescent="0.4">
      <c r="A9" s="5"/>
      <c r="B9" s="2"/>
      <c r="C9" s="5"/>
      <c r="D9" s="2"/>
      <c r="E9" s="2"/>
      <c r="F9" s="2"/>
      <c r="G9" s="4" t="str">
        <f t="shared" si="16"/>
        <v xml:space="preserve"> </v>
      </c>
      <c r="H9" s="5"/>
      <c r="I9" s="5" t="str">
        <f t="shared" si="17"/>
        <v xml:space="preserve"> </v>
      </c>
      <c r="J9" s="5" t="str">
        <f t="shared" si="18"/>
        <v/>
      </c>
      <c r="K9" s="14">
        <v>7</v>
      </c>
      <c r="L9" s="15" t="s">
        <v>11</v>
      </c>
      <c r="M9" s="11">
        <v>513</v>
      </c>
      <c r="R9" s="3">
        <f t="shared" si="19"/>
        <v>0</v>
      </c>
      <c r="S9" s="3">
        <f t="shared" si="20"/>
        <v>0</v>
      </c>
      <c r="T9" s="3">
        <f t="shared" si="21"/>
        <v>0</v>
      </c>
      <c r="U9" s="3">
        <f t="shared" si="0"/>
        <v>0</v>
      </c>
      <c r="V9" s="3">
        <f t="shared" si="1"/>
        <v>0</v>
      </c>
      <c r="W9" s="3">
        <f t="shared" si="2"/>
        <v>0</v>
      </c>
      <c r="X9" s="3">
        <f t="shared" si="3"/>
        <v>0</v>
      </c>
      <c r="Y9" s="3">
        <f t="shared" si="4"/>
        <v>0</v>
      </c>
      <c r="Z9" s="3">
        <f t="shared" si="5"/>
        <v>0</v>
      </c>
      <c r="AA9" s="3">
        <f t="shared" si="6"/>
        <v>0</v>
      </c>
      <c r="AB9" s="3">
        <f t="shared" si="7"/>
        <v>0</v>
      </c>
      <c r="AC9" s="3">
        <f t="shared" si="8"/>
        <v>0</v>
      </c>
      <c r="AD9" s="3">
        <f t="shared" si="9"/>
        <v>0</v>
      </c>
      <c r="AE9" s="3">
        <f t="shared" si="10"/>
        <v>0</v>
      </c>
      <c r="AF9" s="3">
        <f t="shared" si="11"/>
        <v>0</v>
      </c>
      <c r="AG9" s="3">
        <f t="shared" si="12"/>
        <v>0</v>
      </c>
      <c r="AH9" s="3">
        <f t="shared" si="13"/>
        <v>0</v>
      </c>
      <c r="AI9" s="3">
        <f t="shared" si="14"/>
        <v>0</v>
      </c>
      <c r="AJ9" s="3">
        <f t="shared" si="15"/>
        <v>0</v>
      </c>
      <c r="AK9" s="3">
        <f t="shared" si="23"/>
        <v>0</v>
      </c>
      <c r="AL9" s="3">
        <f t="shared" si="22"/>
        <v>0</v>
      </c>
      <c r="AM9" s="5"/>
    </row>
    <row r="10" spans="1:39" ht="14.5" thickBot="1" x14ac:dyDescent="0.4">
      <c r="A10" s="5" t="s">
        <v>12</v>
      </c>
      <c r="B10" s="187"/>
      <c r="C10" s="16" t="s">
        <v>13</v>
      </c>
      <c r="D10" s="2"/>
      <c r="E10" s="2" t="str">
        <f>IF(N10=0,IF(B10="","1. Enter Year YYYY","INVALID YEAR 2001+")," ")</f>
        <v>1. Enter Year YYYY</v>
      </c>
      <c r="F10" s="2"/>
      <c r="G10" s="4" t="str">
        <f t="shared" si="16"/>
        <v xml:space="preserve"> </v>
      </c>
      <c r="H10" s="5"/>
      <c r="I10" s="5" t="str">
        <f t="shared" si="17"/>
        <v xml:space="preserve"> </v>
      </c>
      <c r="J10" s="5" t="str">
        <f t="shared" si="18"/>
        <v/>
      </c>
      <c r="K10" s="12">
        <v>8</v>
      </c>
      <c r="L10" s="13" t="s">
        <v>14</v>
      </c>
      <c r="M10" s="11">
        <v>496.8</v>
      </c>
      <c r="N10" s="3">
        <f>IF(B10&gt;2000,IF(B10&lt;2050,1,0),0)</f>
        <v>0</v>
      </c>
      <c r="O10" s="3">
        <f>(B10-2000)*12+B12</f>
        <v>-24000</v>
      </c>
      <c r="R10" s="3">
        <f t="shared" si="19"/>
        <v>0</v>
      </c>
      <c r="S10" s="3">
        <f t="shared" si="20"/>
        <v>0</v>
      </c>
      <c r="T10" s="3">
        <f t="shared" si="21"/>
        <v>0</v>
      </c>
      <c r="U10" s="3">
        <f t="shared" si="0"/>
        <v>0</v>
      </c>
      <c r="V10" s="3">
        <f t="shared" si="1"/>
        <v>0</v>
      </c>
      <c r="W10" s="3">
        <f t="shared" si="2"/>
        <v>0</v>
      </c>
      <c r="X10" s="3">
        <f t="shared" si="3"/>
        <v>0</v>
      </c>
      <c r="Y10" s="3">
        <f t="shared" si="4"/>
        <v>0</v>
      </c>
      <c r="Z10" s="3">
        <f t="shared" si="5"/>
        <v>0</v>
      </c>
      <c r="AA10" s="3">
        <f t="shared" si="6"/>
        <v>0</v>
      </c>
      <c r="AB10" s="3">
        <f t="shared" si="7"/>
        <v>0</v>
      </c>
      <c r="AC10" s="3">
        <f t="shared" si="8"/>
        <v>0</v>
      </c>
      <c r="AD10" s="3">
        <f t="shared" si="9"/>
        <v>0</v>
      </c>
      <c r="AE10" s="3">
        <f t="shared" si="10"/>
        <v>0</v>
      </c>
      <c r="AF10" s="3">
        <f t="shared" si="11"/>
        <v>0</v>
      </c>
      <c r="AG10" s="3">
        <f t="shared" si="12"/>
        <v>0</v>
      </c>
      <c r="AH10" s="3">
        <f t="shared" si="13"/>
        <v>0</v>
      </c>
      <c r="AI10" s="3">
        <f t="shared" si="14"/>
        <v>0</v>
      </c>
      <c r="AJ10" s="3">
        <f t="shared" si="15"/>
        <v>0</v>
      </c>
      <c r="AK10" s="3">
        <f t="shared" si="23"/>
        <v>0</v>
      </c>
      <c r="AL10" s="3">
        <f t="shared" si="22"/>
        <v>0</v>
      </c>
      <c r="AM10" s="5"/>
    </row>
    <row r="11" spans="1:39" ht="14.5" thickBot="1" x14ac:dyDescent="0.4">
      <c r="A11" s="5"/>
      <c r="B11" s="5"/>
      <c r="C11" s="16"/>
      <c r="D11" s="2"/>
      <c r="E11" s="2" t="s">
        <v>15</v>
      </c>
      <c r="F11" s="2"/>
      <c r="G11" s="4" t="str">
        <f t="shared" si="16"/>
        <v xml:space="preserve"> </v>
      </c>
      <c r="H11" s="5"/>
      <c r="I11" s="5" t="str">
        <f t="shared" si="17"/>
        <v xml:space="preserve"> </v>
      </c>
      <c r="J11" s="5" t="str">
        <f t="shared" si="18"/>
        <v/>
      </c>
      <c r="K11" s="14">
        <v>9</v>
      </c>
      <c r="L11" s="15" t="s">
        <v>16</v>
      </c>
      <c r="M11" s="11">
        <v>465.48</v>
      </c>
      <c r="N11" s="3">
        <f>IF(N10=1,IF(MOD(B10,4)=0,29,28),28)</f>
        <v>28</v>
      </c>
      <c r="R11" s="3">
        <f t="shared" si="19"/>
        <v>0</v>
      </c>
      <c r="S11" s="3">
        <f t="shared" si="20"/>
        <v>0</v>
      </c>
      <c r="T11" s="3">
        <f t="shared" si="21"/>
        <v>0</v>
      </c>
      <c r="U11" s="3">
        <f t="shared" si="0"/>
        <v>0</v>
      </c>
      <c r="V11" s="3">
        <f t="shared" si="1"/>
        <v>0</v>
      </c>
      <c r="W11" s="3">
        <f t="shared" si="2"/>
        <v>0</v>
      </c>
      <c r="X11" s="3">
        <f t="shared" si="3"/>
        <v>0</v>
      </c>
      <c r="Y11" s="3">
        <f t="shared" si="4"/>
        <v>0</v>
      </c>
      <c r="Z11" s="3">
        <f t="shared" si="5"/>
        <v>0</v>
      </c>
      <c r="AA11" s="3">
        <f t="shared" si="6"/>
        <v>0</v>
      </c>
      <c r="AB11" s="3">
        <f t="shared" si="7"/>
        <v>0</v>
      </c>
      <c r="AC11" s="3">
        <f t="shared" si="8"/>
        <v>0</v>
      </c>
      <c r="AD11" s="3">
        <f t="shared" si="9"/>
        <v>0</v>
      </c>
      <c r="AE11" s="3">
        <f t="shared" si="10"/>
        <v>0</v>
      </c>
      <c r="AF11" s="3">
        <f t="shared" si="11"/>
        <v>0</v>
      </c>
      <c r="AG11" s="3">
        <f t="shared" si="12"/>
        <v>0</v>
      </c>
      <c r="AH11" s="3">
        <f t="shared" si="13"/>
        <v>0</v>
      </c>
      <c r="AI11" s="3">
        <f t="shared" si="14"/>
        <v>0</v>
      </c>
      <c r="AJ11" s="3">
        <f t="shared" si="15"/>
        <v>0</v>
      </c>
      <c r="AK11" s="3">
        <f t="shared" si="23"/>
        <v>0</v>
      </c>
      <c r="AL11" s="3">
        <f t="shared" si="22"/>
        <v>0</v>
      </c>
      <c r="AM11" s="5"/>
    </row>
    <row r="12" spans="1:39" ht="14.5" thickBot="1" x14ac:dyDescent="0.4">
      <c r="A12" s="5" t="s">
        <v>17</v>
      </c>
      <c r="B12" s="188"/>
      <c r="C12" s="16" t="s">
        <v>18</v>
      </c>
      <c r="D12" s="2"/>
      <c r="E12" s="2" t="str">
        <f>IF(N12=0,IF(B12="","2. Enter Month MM","INVALID MONTH 1-12")," ")</f>
        <v>2. Enter Month MM</v>
      </c>
      <c r="F12" s="2"/>
      <c r="G12" s="4" t="str">
        <f t="shared" si="16"/>
        <v xml:space="preserve"> </v>
      </c>
      <c r="H12" s="5"/>
      <c r="I12" s="5" t="str">
        <f t="shared" si="17"/>
        <v xml:space="preserve"> </v>
      </c>
      <c r="J12" s="5" t="str">
        <f t="shared" si="18"/>
        <v/>
      </c>
      <c r="K12" s="14">
        <v>10</v>
      </c>
      <c r="L12" s="15" t="s">
        <v>19</v>
      </c>
      <c r="M12" s="11">
        <v>450.36</v>
      </c>
      <c r="N12" s="3">
        <f>IF(B12&gt;0,IF(B12&lt;13,1,0),0)</f>
        <v>0</v>
      </c>
      <c r="R12" s="3">
        <f t="shared" si="19"/>
        <v>0</v>
      </c>
      <c r="S12" s="3">
        <f t="shared" si="20"/>
        <v>0</v>
      </c>
      <c r="T12" s="3">
        <f t="shared" si="21"/>
        <v>0</v>
      </c>
      <c r="U12" s="3">
        <f t="shared" si="0"/>
        <v>0</v>
      </c>
      <c r="V12" s="3">
        <f t="shared" si="1"/>
        <v>0</v>
      </c>
      <c r="W12" s="3">
        <f t="shared" si="2"/>
        <v>0</v>
      </c>
      <c r="X12" s="3">
        <f t="shared" si="3"/>
        <v>0</v>
      </c>
      <c r="Y12" s="3">
        <f t="shared" si="4"/>
        <v>0</v>
      </c>
      <c r="Z12" s="3">
        <f t="shared" si="5"/>
        <v>0</v>
      </c>
      <c r="AA12" s="3">
        <f t="shared" si="6"/>
        <v>0</v>
      </c>
      <c r="AB12" s="3">
        <f t="shared" si="7"/>
        <v>0</v>
      </c>
      <c r="AC12" s="3">
        <f t="shared" si="8"/>
        <v>0</v>
      </c>
      <c r="AD12" s="3">
        <f t="shared" si="9"/>
        <v>0</v>
      </c>
      <c r="AE12" s="3">
        <f t="shared" si="10"/>
        <v>0</v>
      </c>
      <c r="AF12" s="3">
        <f t="shared" si="11"/>
        <v>0</v>
      </c>
      <c r="AG12" s="3">
        <f t="shared" si="12"/>
        <v>0</v>
      </c>
      <c r="AH12" s="3">
        <f t="shared" si="13"/>
        <v>0</v>
      </c>
      <c r="AI12" s="3">
        <f t="shared" si="14"/>
        <v>0</v>
      </c>
      <c r="AJ12" s="3">
        <f t="shared" si="15"/>
        <v>0</v>
      </c>
      <c r="AK12" s="3">
        <f t="shared" si="23"/>
        <v>0</v>
      </c>
      <c r="AL12" s="3">
        <f t="shared" si="22"/>
        <v>0</v>
      </c>
      <c r="AM12" s="5"/>
    </row>
    <row r="13" spans="1:39" ht="14.5" thickBot="1" x14ac:dyDescent="0.4">
      <c r="A13" s="5"/>
      <c r="B13" s="5"/>
      <c r="C13" s="16"/>
      <c r="D13" s="2"/>
      <c r="E13" s="2" t="s">
        <v>15</v>
      </c>
      <c r="F13" s="2"/>
      <c r="G13" s="4" t="str">
        <f t="shared" si="16"/>
        <v xml:space="preserve"> </v>
      </c>
      <c r="H13" s="5"/>
      <c r="I13" s="5" t="str">
        <f t="shared" si="17"/>
        <v xml:space="preserve"> </v>
      </c>
      <c r="J13" s="5" t="str">
        <f t="shared" si="18"/>
        <v/>
      </c>
      <c r="K13" s="12">
        <v>11</v>
      </c>
      <c r="L13" s="13" t="s">
        <v>20</v>
      </c>
      <c r="M13" s="11">
        <v>437.4</v>
      </c>
      <c r="N13" s="3">
        <f>IF(N12=1,IF(B12=2,N11,IF(OR(B12=4,B12=6,B12=9,B12=11),30,31)),31)</f>
        <v>31</v>
      </c>
      <c r="R13" s="3">
        <f t="shared" si="19"/>
        <v>0</v>
      </c>
      <c r="S13" s="3">
        <f t="shared" si="20"/>
        <v>0</v>
      </c>
      <c r="T13" s="3">
        <f t="shared" si="21"/>
        <v>0</v>
      </c>
      <c r="U13" s="3">
        <f t="shared" si="0"/>
        <v>0</v>
      </c>
      <c r="V13" s="3">
        <f t="shared" si="1"/>
        <v>0</v>
      </c>
      <c r="W13" s="3">
        <f t="shared" si="2"/>
        <v>0</v>
      </c>
      <c r="X13" s="3">
        <f t="shared" si="3"/>
        <v>0</v>
      </c>
      <c r="Y13" s="3">
        <f t="shared" si="4"/>
        <v>0</v>
      </c>
      <c r="Z13" s="3">
        <f t="shared" si="5"/>
        <v>0</v>
      </c>
      <c r="AA13" s="3">
        <f t="shared" si="6"/>
        <v>0</v>
      </c>
      <c r="AB13" s="3">
        <f t="shared" si="7"/>
        <v>0</v>
      </c>
      <c r="AC13" s="3">
        <f t="shared" si="8"/>
        <v>0</v>
      </c>
      <c r="AD13" s="3">
        <f t="shared" si="9"/>
        <v>0</v>
      </c>
      <c r="AE13" s="3">
        <f t="shared" si="10"/>
        <v>0</v>
      </c>
      <c r="AF13" s="3">
        <f t="shared" si="11"/>
        <v>0</v>
      </c>
      <c r="AG13" s="3">
        <f t="shared" si="12"/>
        <v>0</v>
      </c>
      <c r="AH13" s="3">
        <f t="shared" si="13"/>
        <v>0</v>
      </c>
      <c r="AI13" s="3">
        <f t="shared" si="14"/>
        <v>0</v>
      </c>
      <c r="AJ13" s="3">
        <f t="shared" si="15"/>
        <v>0</v>
      </c>
      <c r="AK13" s="3">
        <f t="shared" si="23"/>
        <v>0</v>
      </c>
      <c r="AL13" s="3">
        <f t="shared" si="22"/>
        <v>0</v>
      </c>
      <c r="AM13" s="5"/>
    </row>
    <row r="14" spans="1:39" ht="14.5" thickBot="1" x14ac:dyDescent="0.4">
      <c r="A14" s="5" t="s">
        <v>21</v>
      </c>
      <c r="B14" s="188"/>
      <c r="C14" s="16" t="s">
        <v>22</v>
      </c>
      <c r="D14" s="2"/>
      <c r="E14" s="2" t="str">
        <f>IF(N14=0,IF(B14="","3. Enter Day DD","INVALID DAY 1-"&amp;N13)," ")</f>
        <v>3. Enter Day DD</v>
      </c>
      <c r="F14" s="2"/>
      <c r="G14" s="4" t="str">
        <f t="shared" si="16"/>
        <v xml:space="preserve"> </v>
      </c>
      <c r="H14" s="5"/>
      <c r="I14" s="5" t="str">
        <f t="shared" si="17"/>
        <v xml:space="preserve"> </v>
      </c>
      <c r="J14" s="5" t="str">
        <f t="shared" si="18"/>
        <v/>
      </c>
      <c r="K14" s="14">
        <v>12</v>
      </c>
      <c r="L14" s="15" t="s">
        <v>23</v>
      </c>
      <c r="M14" s="11">
        <v>401.76</v>
      </c>
      <c r="N14" s="3">
        <f>IF(B14&gt;0,IF(B14&lt;=N13,1,0),0)</f>
        <v>0</v>
      </c>
      <c r="R14" s="3">
        <f t="shared" si="19"/>
        <v>0</v>
      </c>
      <c r="S14" s="3">
        <f t="shared" si="20"/>
        <v>0</v>
      </c>
      <c r="T14" s="3">
        <f t="shared" si="21"/>
        <v>0</v>
      </c>
      <c r="U14" s="3">
        <f t="shared" si="0"/>
        <v>0</v>
      </c>
      <c r="V14" s="3">
        <f t="shared" si="1"/>
        <v>0</v>
      </c>
      <c r="W14" s="3">
        <f t="shared" si="2"/>
        <v>0</v>
      </c>
      <c r="X14" s="3">
        <f t="shared" si="3"/>
        <v>0</v>
      </c>
      <c r="Y14" s="3">
        <f t="shared" si="4"/>
        <v>0</v>
      </c>
      <c r="Z14" s="3">
        <f t="shared" si="5"/>
        <v>0</v>
      </c>
      <c r="AA14" s="3">
        <f t="shared" si="6"/>
        <v>0</v>
      </c>
      <c r="AB14" s="3">
        <f t="shared" si="7"/>
        <v>0</v>
      </c>
      <c r="AC14" s="3">
        <f t="shared" si="8"/>
        <v>0</v>
      </c>
      <c r="AD14" s="3">
        <f t="shared" si="9"/>
        <v>0</v>
      </c>
      <c r="AE14" s="3">
        <f t="shared" si="10"/>
        <v>0</v>
      </c>
      <c r="AF14" s="3">
        <f t="shared" si="11"/>
        <v>0</v>
      </c>
      <c r="AG14" s="3">
        <f t="shared" si="12"/>
        <v>0</v>
      </c>
      <c r="AH14" s="3">
        <f t="shared" si="13"/>
        <v>0</v>
      </c>
      <c r="AI14" s="3">
        <f t="shared" si="14"/>
        <v>0</v>
      </c>
      <c r="AJ14" s="3">
        <f t="shared" si="15"/>
        <v>0</v>
      </c>
      <c r="AK14" s="3">
        <f t="shared" si="23"/>
        <v>0</v>
      </c>
      <c r="AL14" s="3">
        <f t="shared" si="22"/>
        <v>0</v>
      </c>
      <c r="AM14" s="5"/>
    </row>
    <row r="15" spans="1:39" ht="14.5" thickBot="1" x14ac:dyDescent="0.4">
      <c r="A15" s="5"/>
      <c r="B15" s="5"/>
      <c r="C15" s="16"/>
      <c r="D15" s="2"/>
      <c r="E15" s="2" t="s">
        <v>15</v>
      </c>
      <c r="F15" s="2"/>
      <c r="G15" s="4" t="str">
        <f t="shared" si="16"/>
        <v xml:space="preserve"> </v>
      </c>
      <c r="H15" s="5"/>
      <c r="I15" s="5" t="str">
        <f t="shared" si="17"/>
        <v xml:space="preserve"> </v>
      </c>
      <c r="J15" s="5" t="str">
        <f t="shared" si="18"/>
        <v/>
      </c>
      <c r="K15" s="12">
        <v>13</v>
      </c>
      <c r="L15" s="13" t="s">
        <v>24</v>
      </c>
      <c r="M15" s="11">
        <v>365.04</v>
      </c>
      <c r="R15" s="3">
        <f t="shared" si="19"/>
        <v>0</v>
      </c>
      <c r="S15" s="3">
        <f t="shared" si="20"/>
        <v>0</v>
      </c>
      <c r="T15" s="3">
        <f t="shared" si="21"/>
        <v>0</v>
      </c>
      <c r="U15" s="3">
        <f t="shared" si="0"/>
        <v>0</v>
      </c>
      <c r="V15" s="3">
        <f t="shared" si="1"/>
        <v>0</v>
      </c>
      <c r="W15" s="3">
        <f t="shared" si="2"/>
        <v>0</v>
      </c>
      <c r="X15" s="3">
        <f t="shared" si="3"/>
        <v>0</v>
      </c>
      <c r="Y15" s="3">
        <f t="shared" si="4"/>
        <v>0</v>
      </c>
      <c r="Z15" s="3">
        <f t="shared" si="5"/>
        <v>0</v>
      </c>
      <c r="AA15" s="3">
        <f t="shared" si="6"/>
        <v>0</v>
      </c>
      <c r="AB15" s="3">
        <f t="shared" si="7"/>
        <v>0</v>
      </c>
      <c r="AC15" s="3">
        <f t="shared" si="8"/>
        <v>0</v>
      </c>
      <c r="AD15" s="3">
        <f t="shared" si="9"/>
        <v>0</v>
      </c>
      <c r="AE15" s="3">
        <f t="shared" si="10"/>
        <v>0</v>
      </c>
      <c r="AF15" s="3">
        <f t="shared" si="11"/>
        <v>0</v>
      </c>
      <c r="AG15" s="3">
        <f t="shared" si="12"/>
        <v>0</v>
      </c>
      <c r="AH15" s="3">
        <f t="shared" si="13"/>
        <v>0</v>
      </c>
      <c r="AI15" s="3">
        <f t="shared" si="14"/>
        <v>0</v>
      </c>
      <c r="AJ15" s="3">
        <f t="shared" si="15"/>
        <v>0</v>
      </c>
      <c r="AK15" s="3">
        <f t="shared" si="23"/>
        <v>0</v>
      </c>
      <c r="AL15" s="3">
        <f t="shared" si="22"/>
        <v>0</v>
      </c>
      <c r="AM15" s="5"/>
    </row>
    <row r="16" spans="1:39" ht="14.5" thickBot="1" x14ac:dyDescent="0.4">
      <c r="A16" s="5" t="s">
        <v>25</v>
      </c>
      <c r="B16" s="189"/>
      <c r="C16" s="16" t="s">
        <v>26</v>
      </c>
      <c r="D16" s="2"/>
      <c r="E16" s="2" t="str">
        <f>IF(N16=0,IF(B16="","4. Enter Time hhmm","INVALID TIME")," ")</f>
        <v>4. Enter Time hhmm</v>
      </c>
      <c r="F16" s="2"/>
      <c r="G16" s="4" t="str">
        <f t="shared" si="16"/>
        <v xml:space="preserve"> </v>
      </c>
      <c r="H16" s="5"/>
      <c r="I16" s="5" t="str">
        <f t="shared" si="17"/>
        <v xml:space="preserve"> </v>
      </c>
      <c r="J16" s="5" t="str">
        <f t="shared" si="18"/>
        <v/>
      </c>
      <c r="K16" s="14">
        <v>14</v>
      </c>
      <c r="L16" s="15" t="s">
        <v>27</v>
      </c>
      <c r="M16" s="11">
        <v>349.92</v>
      </c>
      <c r="N16" s="3">
        <f>IF(N17=1,IF(B16-INT(B16/100)*100&lt;60,1,0),0)</f>
        <v>0</v>
      </c>
      <c r="O16" s="3">
        <f>IF(N16=1,INT(B16/100),0)</f>
        <v>0</v>
      </c>
      <c r="P16" s="3">
        <f>IF(N16=1,B16-O16*100,0)</f>
        <v>0</v>
      </c>
      <c r="R16" s="3">
        <f t="shared" si="19"/>
        <v>0</v>
      </c>
      <c r="S16" s="3">
        <f t="shared" si="20"/>
        <v>0</v>
      </c>
      <c r="T16" s="3">
        <f t="shared" si="21"/>
        <v>0</v>
      </c>
      <c r="U16" s="3">
        <f t="shared" si="0"/>
        <v>0</v>
      </c>
      <c r="V16" s="3">
        <f t="shared" si="1"/>
        <v>0</v>
      </c>
      <c r="W16" s="3">
        <f t="shared" si="2"/>
        <v>0</v>
      </c>
      <c r="X16" s="3">
        <f t="shared" si="3"/>
        <v>0</v>
      </c>
      <c r="Y16" s="3">
        <f t="shared" si="4"/>
        <v>0</v>
      </c>
      <c r="Z16" s="3">
        <f t="shared" si="5"/>
        <v>0</v>
      </c>
      <c r="AA16" s="3">
        <f t="shared" si="6"/>
        <v>0</v>
      </c>
      <c r="AB16" s="3">
        <f t="shared" si="7"/>
        <v>0</v>
      </c>
      <c r="AC16" s="3">
        <f t="shared" si="8"/>
        <v>0</v>
      </c>
      <c r="AD16" s="3">
        <f t="shared" si="9"/>
        <v>0</v>
      </c>
      <c r="AE16" s="3">
        <f t="shared" si="10"/>
        <v>0</v>
      </c>
      <c r="AF16" s="3">
        <f t="shared" si="11"/>
        <v>0</v>
      </c>
      <c r="AG16" s="3">
        <f t="shared" si="12"/>
        <v>0</v>
      </c>
      <c r="AH16" s="3">
        <f t="shared" si="13"/>
        <v>0</v>
      </c>
      <c r="AI16" s="3">
        <f t="shared" si="14"/>
        <v>0</v>
      </c>
      <c r="AJ16" s="3">
        <f t="shared" si="15"/>
        <v>0</v>
      </c>
      <c r="AK16" s="3">
        <f t="shared" si="23"/>
        <v>0</v>
      </c>
      <c r="AL16" s="3">
        <f t="shared" si="22"/>
        <v>0</v>
      </c>
      <c r="AM16" s="5"/>
    </row>
    <row r="17" spans="1:39" ht="14.5" thickBot="1" x14ac:dyDescent="0.4">
      <c r="A17" s="5"/>
      <c r="B17" s="5"/>
      <c r="C17" s="5"/>
      <c r="D17" s="2"/>
      <c r="E17" s="2" t="s">
        <v>15</v>
      </c>
      <c r="F17" s="2"/>
      <c r="G17" s="4" t="str">
        <f t="shared" si="16"/>
        <v xml:space="preserve"> </v>
      </c>
      <c r="H17" s="5"/>
      <c r="I17" s="5" t="str">
        <f t="shared" si="17"/>
        <v xml:space="preserve"> </v>
      </c>
      <c r="J17" s="5" t="str">
        <f t="shared" si="18"/>
        <v/>
      </c>
      <c r="K17" s="14">
        <v>15</v>
      </c>
      <c r="L17" s="15" t="s">
        <v>28</v>
      </c>
      <c r="M17" s="11">
        <v>338.04</v>
      </c>
      <c r="N17" s="3">
        <f>IF(B16="",0,IF(B16&gt;=0,IF(B16&lt;=2400,1,0),0))</f>
        <v>0</v>
      </c>
      <c r="O17" s="3">
        <f>N16*N14*N12*N10</f>
        <v>0</v>
      </c>
      <c r="R17" s="3">
        <f t="shared" si="19"/>
        <v>0</v>
      </c>
      <c r="S17" s="3">
        <f t="shared" si="20"/>
        <v>0</v>
      </c>
      <c r="T17" s="3">
        <f t="shared" si="21"/>
        <v>0</v>
      </c>
      <c r="U17" s="3">
        <f t="shared" si="0"/>
        <v>0</v>
      </c>
      <c r="V17" s="3">
        <f t="shared" si="1"/>
        <v>0</v>
      </c>
      <c r="W17" s="3">
        <f t="shared" si="2"/>
        <v>0</v>
      </c>
      <c r="X17" s="3">
        <f t="shared" si="3"/>
        <v>0</v>
      </c>
      <c r="Y17" s="3">
        <f t="shared" si="4"/>
        <v>0</v>
      </c>
      <c r="Z17" s="3">
        <f t="shared" si="5"/>
        <v>0</v>
      </c>
      <c r="AA17" s="3">
        <f t="shared" si="6"/>
        <v>0</v>
      </c>
      <c r="AB17" s="3">
        <f t="shared" si="7"/>
        <v>0</v>
      </c>
      <c r="AC17" s="3">
        <f t="shared" si="8"/>
        <v>0</v>
      </c>
      <c r="AD17" s="3">
        <f t="shared" si="9"/>
        <v>0</v>
      </c>
      <c r="AE17" s="3">
        <f t="shared" si="10"/>
        <v>0</v>
      </c>
      <c r="AF17" s="3">
        <f t="shared" si="11"/>
        <v>0</v>
      </c>
      <c r="AG17" s="3">
        <f t="shared" si="12"/>
        <v>0</v>
      </c>
      <c r="AH17" s="3">
        <f t="shared" si="13"/>
        <v>0</v>
      </c>
      <c r="AI17" s="3">
        <f t="shared" si="14"/>
        <v>0</v>
      </c>
      <c r="AJ17" s="3">
        <f t="shared" si="15"/>
        <v>0</v>
      </c>
      <c r="AK17" s="3">
        <f t="shared" si="23"/>
        <v>0</v>
      </c>
      <c r="AL17" s="3">
        <f t="shared" si="22"/>
        <v>0</v>
      </c>
      <c r="AM17" s="5"/>
    </row>
    <row r="18" spans="1:39" ht="14.5" thickBot="1" x14ac:dyDescent="0.4">
      <c r="A18" s="5" t="s">
        <v>29</v>
      </c>
      <c r="B18" s="187"/>
      <c r="C18" s="192" t="str">
        <f>IF(N18=1,VLOOKUP(B18,$K$3:$L$37,2),"")</f>
        <v/>
      </c>
      <c r="D18" s="2" t="s">
        <v>30</v>
      </c>
      <c r="E18" s="2" t="str">
        <f>IF(N18=0,IF(B18="","5. Enter Departure Pt #","INVALID NUMBER (1-35)")," ")</f>
        <v>5. Enter Departure Pt #</v>
      </c>
      <c r="F18" s="2"/>
      <c r="G18" s="4" t="str">
        <f t="shared" si="16"/>
        <v xml:space="preserve"> </v>
      </c>
      <c r="H18" s="5"/>
      <c r="I18" s="5" t="str">
        <f t="shared" si="17"/>
        <v xml:space="preserve"> </v>
      </c>
      <c r="J18" s="5" t="str">
        <f t="shared" si="18"/>
        <v/>
      </c>
      <c r="K18" s="12">
        <v>16</v>
      </c>
      <c r="L18" s="13" t="s">
        <v>31</v>
      </c>
      <c r="M18" s="11">
        <v>314.27999999999997</v>
      </c>
      <c r="N18" s="3">
        <f>IF(B18&gt;0,IF(B18&lt;36,1,0),0)</f>
        <v>0</v>
      </c>
      <c r="O18" s="3">
        <f>IF(N18=1,VLOOKUP(B18,$K$3:$M$37,3),0)</f>
        <v>0</v>
      </c>
      <c r="R18" s="3">
        <f t="shared" si="19"/>
        <v>0</v>
      </c>
      <c r="S18" s="3">
        <f t="shared" si="20"/>
        <v>0</v>
      </c>
      <c r="T18" s="3">
        <f t="shared" si="21"/>
        <v>0</v>
      </c>
      <c r="U18" s="3">
        <f t="shared" si="0"/>
        <v>0</v>
      </c>
      <c r="V18" s="3">
        <f t="shared" si="1"/>
        <v>0</v>
      </c>
      <c r="W18" s="3">
        <f t="shared" si="2"/>
        <v>0</v>
      </c>
      <c r="X18" s="3">
        <f t="shared" si="3"/>
        <v>0</v>
      </c>
      <c r="Y18" s="3">
        <f t="shared" si="4"/>
        <v>0</v>
      </c>
      <c r="Z18" s="3">
        <f t="shared" si="5"/>
        <v>0</v>
      </c>
      <c r="AA18" s="3">
        <f t="shared" si="6"/>
        <v>0</v>
      </c>
      <c r="AB18" s="3">
        <f t="shared" si="7"/>
        <v>0</v>
      </c>
      <c r="AC18" s="3">
        <f t="shared" si="8"/>
        <v>0</v>
      </c>
      <c r="AD18" s="3">
        <f t="shared" si="9"/>
        <v>0</v>
      </c>
      <c r="AE18" s="3">
        <f t="shared" si="10"/>
        <v>0</v>
      </c>
      <c r="AF18" s="3">
        <f t="shared" si="11"/>
        <v>0</v>
      </c>
      <c r="AG18" s="3">
        <f t="shared" si="12"/>
        <v>0</v>
      </c>
      <c r="AH18" s="3">
        <f t="shared" si="13"/>
        <v>0</v>
      </c>
      <c r="AI18" s="3">
        <f t="shared" si="14"/>
        <v>0</v>
      </c>
      <c r="AJ18" s="3">
        <f t="shared" si="15"/>
        <v>0</v>
      </c>
      <c r="AK18" s="3">
        <f t="shared" si="23"/>
        <v>0</v>
      </c>
      <c r="AL18" s="3">
        <f t="shared" si="22"/>
        <v>0</v>
      </c>
      <c r="AM18" s="5"/>
    </row>
    <row r="19" spans="1:39" ht="14.5" thickBot="1" x14ac:dyDescent="0.4">
      <c r="A19" s="5"/>
      <c r="B19" s="5"/>
      <c r="C19" s="5"/>
      <c r="D19" s="2"/>
      <c r="E19" s="2" t="s">
        <v>15</v>
      </c>
      <c r="F19" s="2"/>
      <c r="G19" s="4" t="str">
        <f t="shared" si="16"/>
        <v xml:space="preserve"> </v>
      </c>
      <c r="H19" s="5"/>
      <c r="I19" s="5" t="str">
        <f t="shared" si="17"/>
        <v xml:space="preserve"> </v>
      </c>
      <c r="J19" s="5" t="str">
        <f t="shared" si="18"/>
        <v/>
      </c>
      <c r="K19" s="12">
        <v>17</v>
      </c>
      <c r="L19" s="13" t="s">
        <v>32</v>
      </c>
      <c r="M19" s="11">
        <v>281.88</v>
      </c>
      <c r="R19" s="3">
        <f t="shared" si="19"/>
        <v>0</v>
      </c>
      <c r="S19" s="3">
        <f t="shared" si="20"/>
        <v>0</v>
      </c>
      <c r="T19" s="3">
        <f t="shared" si="21"/>
        <v>0</v>
      </c>
      <c r="U19" s="3">
        <f t="shared" si="0"/>
        <v>0</v>
      </c>
      <c r="V19" s="3">
        <f t="shared" si="1"/>
        <v>0</v>
      </c>
      <c r="W19" s="3">
        <f t="shared" si="2"/>
        <v>0</v>
      </c>
      <c r="X19" s="3">
        <f t="shared" si="3"/>
        <v>0</v>
      </c>
      <c r="Y19" s="3">
        <f t="shared" si="4"/>
        <v>0</v>
      </c>
      <c r="Z19" s="3">
        <f t="shared" si="5"/>
        <v>0</v>
      </c>
      <c r="AA19" s="3">
        <f t="shared" si="6"/>
        <v>0</v>
      </c>
      <c r="AB19" s="3">
        <f t="shared" si="7"/>
        <v>0</v>
      </c>
      <c r="AC19" s="3">
        <f t="shared" si="8"/>
        <v>0</v>
      </c>
      <c r="AD19" s="3">
        <f t="shared" si="9"/>
        <v>0</v>
      </c>
      <c r="AE19" s="3">
        <f t="shared" si="10"/>
        <v>0</v>
      </c>
      <c r="AF19" s="3">
        <f t="shared" si="11"/>
        <v>0</v>
      </c>
      <c r="AG19" s="3">
        <f t="shared" si="12"/>
        <v>0</v>
      </c>
      <c r="AH19" s="3">
        <f t="shared" si="13"/>
        <v>0</v>
      </c>
      <c r="AI19" s="3">
        <f t="shared" si="14"/>
        <v>0</v>
      </c>
      <c r="AJ19" s="3">
        <f t="shared" si="15"/>
        <v>0</v>
      </c>
      <c r="AK19" s="3">
        <f t="shared" si="23"/>
        <v>0</v>
      </c>
      <c r="AL19" s="3">
        <f t="shared" si="22"/>
        <v>0</v>
      </c>
      <c r="AM19" s="5"/>
    </row>
    <row r="20" spans="1:39" ht="14.5" thickBot="1" x14ac:dyDescent="0.4">
      <c r="A20" s="5" t="s">
        <v>33</v>
      </c>
      <c r="B20" s="187"/>
      <c r="C20" s="192" t="str">
        <f>IF(N20=1,VLOOKUP(B20,$K$3:$L$37,2),"")</f>
        <v/>
      </c>
      <c r="D20" s="2" t="s">
        <v>30</v>
      </c>
      <c r="E20" s="2" t="str">
        <f>IF(N20=0,IF(B20="","6. Enter Destination #","INVALID NUMBER (1-35)")," ")</f>
        <v>6. Enter Destination #</v>
      </c>
      <c r="F20" s="2"/>
      <c r="G20" s="4" t="str">
        <f t="shared" si="16"/>
        <v xml:space="preserve"> </v>
      </c>
      <c r="H20" s="5"/>
      <c r="I20" s="5" t="str">
        <f t="shared" si="17"/>
        <v xml:space="preserve"> </v>
      </c>
      <c r="J20" s="5" t="str">
        <f t="shared" si="18"/>
        <v/>
      </c>
      <c r="K20" s="14">
        <v>18</v>
      </c>
      <c r="L20" s="15" t="s">
        <v>34</v>
      </c>
      <c r="M20" s="11">
        <v>267.83999999999997</v>
      </c>
      <c r="N20" s="3">
        <f>IF(B20&gt;0,IF(B20&lt;36,IF(B20=B18,0,1),0),0)</f>
        <v>0</v>
      </c>
      <c r="O20" s="3">
        <f>IF(N20=1,VLOOKUP(B20,$K$3:$M$37,3),0)</f>
        <v>0</v>
      </c>
      <c r="R20" s="3">
        <f t="shared" si="19"/>
        <v>0</v>
      </c>
      <c r="S20" s="3">
        <f t="shared" si="20"/>
        <v>0</v>
      </c>
      <c r="T20" s="3">
        <f t="shared" si="21"/>
        <v>0</v>
      </c>
      <c r="U20" s="3">
        <f t="shared" si="0"/>
        <v>0</v>
      </c>
      <c r="V20" s="3">
        <f t="shared" si="1"/>
        <v>0</v>
      </c>
      <c r="W20" s="3">
        <f t="shared" si="2"/>
        <v>0</v>
      </c>
      <c r="X20" s="3">
        <f t="shared" si="3"/>
        <v>0</v>
      </c>
      <c r="Y20" s="3">
        <f t="shared" si="4"/>
        <v>0</v>
      </c>
      <c r="Z20" s="3">
        <f t="shared" si="5"/>
        <v>0</v>
      </c>
      <c r="AA20" s="3">
        <f t="shared" si="6"/>
        <v>0</v>
      </c>
      <c r="AB20" s="3">
        <f t="shared" si="7"/>
        <v>0</v>
      </c>
      <c r="AC20" s="3">
        <f t="shared" si="8"/>
        <v>0</v>
      </c>
      <c r="AD20" s="3">
        <f t="shared" si="9"/>
        <v>0</v>
      </c>
      <c r="AE20" s="3">
        <f t="shared" si="10"/>
        <v>0</v>
      </c>
      <c r="AF20" s="3">
        <f t="shared" si="11"/>
        <v>0</v>
      </c>
      <c r="AG20" s="3">
        <f t="shared" si="12"/>
        <v>0</v>
      </c>
      <c r="AH20" s="3">
        <f t="shared" si="13"/>
        <v>0</v>
      </c>
      <c r="AI20" s="3">
        <f t="shared" si="14"/>
        <v>0</v>
      </c>
      <c r="AJ20" s="3">
        <f t="shared" si="15"/>
        <v>0</v>
      </c>
      <c r="AK20" s="3">
        <f t="shared" si="23"/>
        <v>0</v>
      </c>
      <c r="AL20" s="3">
        <f t="shared" si="22"/>
        <v>0</v>
      </c>
      <c r="AM20" s="5"/>
    </row>
    <row r="21" spans="1:39" ht="14.5" thickBot="1" x14ac:dyDescent="0.4">
      <c r="A21" s="5"/>
      <c r="B21" s="5"/>
      <c r="C21" s="5"/>
      <c r="D21" s="2"/>
      <c r="E21" s="2" t="s">
        <v>15</v>
      </c>
      <c r="F21" s="2"/>
      <c r="G21" s="4" t="str">
        <f t="shared" si="16"/>
        <v xml:space="preserve"> </v>
      </c>
      <c r="H21" s="5"/>
      <c r="I21" s="5" t="str">
        <f t="shared" si="17"/>
        <v xml:space="preserve"> </v>
      </c>
      <c r="J21" s="5" t="str">
        <f t="shared" si="18"/>
        <v/>
      </c>
      <c r="K21" s="12">
        <v>19</v>
      </c>
      <c r="L21" s="13" t="s">
        <v>35</v>
      </c>
      <c r="M21" s="11">
        <v>257.04000000000002</v>
      </c>
      <c r="R21" s="3">
        <f t="shared" si="19"/>
        <v>0</v>
      </c>
      <c r="S21" s="3">
        <f t="shared" si="20"/>
        <v>0</v>
      </c>
      <c r="T21" s="3">
        <f t="shared" si="21"/>
        <v>0</v>
      </c>
      <c r="U21" s="3">
        <f t="shared" si="0"/>
        <v>0</v>
      </c>
      <c r="V21" s="3">
        <f t="shared" si="1"/>
        <v>0</v>
      </c>
      <c r="W21" s="3">
        <f t="shared" si="2"/>
        <v>0</v>
      </c>
      <c r="X21" s="3">
        <f t="shared" si="3"/>
        <v>0</v>
      </c>
      <c r="Y21" s="3">
        <f t="shared" si="4"/>
        <v>0</v>
      </c>
      <c r="Z21" s="3">
        <f t="shared" si="5"/>
        <v>0</v>
      </c>
      <c r="AA21" s="3">
        <f t="shared" si="6"/>
        <v>0</v>
      </c>
      <c r="AB21" s="3">
        <f t="shared" si="7"/>
        <v>0</v>
      </c>
      <c r="AC21" s="3">
        <f t="shared" si="8"/>
        <v>0</v>
      </c>
      <c r="AD21" s="3">
        <f t="shared" si="9"/>
        <v>0</v>
      </c>
      <c r="AE21" s="3">
        <f t="shared" si="10"/>
        <v>0</v>
      </c>
      <c r="AF21" s="3">
        <f t="shared" si="11"/>
        <v>0</v>
      </c>
      <c r="AG21" s="3">
        <f t="shared" si="12"/>
        <v>0</v>
      </c>
      <c r="AH21" s="3">
        <f t="shared" si="13"/>
        <v>0</v>
      </c>
      <c r="AI21" s="3">
        <f t="shared" si="14"/>
        <v>0</v>
      </c>
      <c r="AJ21" s="3">
        <f t="shared" si="15"/>
        <v>0</v>
      </c>
      <c r="AK21" s="3">
        <f t="shared" si="23"/>
        <v>0</v>
      </c>
      <c r="AL21" s="3">
        <f t="shared" si="22"/>
        <v>0</v>
      </c>
      <c r="AM21" s="5"/>
    </row>
    <row r="22" spans="1:39" ht="14.5" thickBot="1" x14ac:dyDescent="0.4">
      <c r="A22" s="5" t="s">
        <v>36</v>
      </c>
      <c r="B22" s="187"/>
      <c r="C22" s="16" t="s">
        <v>37</v>
      </c>
      <c r="D22" s="2"/>
      <c r="E22" s="2" t="str">
        <f>IF(N22=0,IF(B22="","7. Enter Average Spd","INVALID SPD 1-100")," ")</f>
        <v>7. Enter Average Spd</v>
      </c>
      <c r="F22" s="2"/>
      <c r="G22" s="4" t="str">
        <f t="shared" si="16"/>
        <v xml:space="preserve"> </v>
      </c>
      <c r="H22" s="5"/>
      <c r="I22" s="5" t="str">
        <f t="shared" si="17"/>
        <v xml:space="preserve"> </v>
      </c>
      <c r="J22" s="5" t="str">
        <f t="shared" si="18"/>
        <v/>
      </c>
      <c r="K22" s="14">
        <v>20</v>
      </c>
      <c r="L22" s="15" t="s">
        <v>38</v>
      </c>
      <c r="M22" s="11">
        <v>245</v>
      </c>
      <c r="N22" s="3">
        <f>IF(B22&gt;0.9,IF(B22&lt;=100,1,0),0)</f>
        <v>0</v>
      </c>
      <c r="O22" s="3">
        <f>N22*N20*N18*N16*N14*N12*N10</f>
        <v>0</v>
      </c>
      <c r="R22" s="3">
        <f t="shared" si="19"/>
        <v>0</v>
      </c>
      <c r="S22" s="3">
        <f t="shared" si="20"/>
        <v>0</v>
      </c>
      <c r="T22" s="3">
        <f t="shared" si="21"/>
        <v>0</v>
      </c>
      <c r="U22" s="3">
        <f t="shared" si="0"/>
        <v>0</v>
      </c>
      <c r="V22" s="3">
        <f t="shared" si="1"/>
        <v>0</v>
      </c>
      <c r="W22" s="3">
        <f t="shared" si="2"/>
        <v>0</v>
      </c>
      <c r="X22" s="3">
        <f t="shared" si="3"/>
        <v>0</v>
      </c>
      <c r="Y22" s="3">
        <f t="shared" si="4"/>
        <v>0</v>
      </c>
      <c r="Z22" s="3">
        <f t="shared" si="5"/>
        <v>0</v>
      </c>
      <c r="AA22" s="3">
        <f t="shared" si="6"/>
        <v>0</v>
      </c>
      <c r="AB22" s="3">
        <f t="shared" si="7"/>
        <v>0</v>
      </c>
      <c r="AC22" s="3">
        <f t="shared" si="8"/>
        <v>0</v>
      </c>
      <c r="AD22" s="3">
        <f t="shared" si="9"/>
        <v>0</v>
      </c>
      <c r="AE22" s="3">
        <f t="shared" si="10"/>
        <v>0</v>
      </c>
      <c r="AF22" s="3">
        <f t="shared" si="11"/>
        <v>0</v>
      </c>
      <c r="AG22" s="3">
        <f t="shared" si="12"/>
        <v>0</v>
      </c>
      <c r="AH22" s="3">
        <f t="shared" si="13"/>
        <v>0</v>
      </c>
      <c r="AI22" s="3">
        <f t="shared" si="14"/>
        <v>0</v>
      </c>
      <c r="AJ22" s="3">
        <f t="shared" si="15"/>
        <v>0</v>
      </c>
      <c r="AK22" s="3">
        <f t="shared" si="23"/>
        <v>0</v>
      </c>
      <c r="AL22" s="3">
        <f t="shared" si="22"/>
        <v>0</v>
      </c>
      <c r="AM22" s="5"/>
    </row>
    <row r="23" spans="1:39" ht="14.5" thickBot="1" x14ac:dyDescent="0.4">
      <c r="A23" s="5"/>
      <c r="B23" s="5"/>
      <c r="C23" s="5"/>
      <c r="D23" s="5"/>
      <c r="E23" s="5"/>
      <c r="F23" s="2"/>
      <c r="G23" s="4" t="str">
        <f t="shared" si="16"/>
        <v xml:space="preserve"> </v>
      </c>
      <c r="H23" s="5"/>
      <c r="I23" s="5" t="str">
        <f t="shared" si="17"/>
        <v xml:space="preserve"> </v>
      </c>
      <c r="J23" s="5" t="str">
        <f t="shared" si="18"/>
        <v/>
      </c>
      <c r="K23" s="14">
        <v>21</v>
      </c>
      <c r="L23" s="15" t="s">
        <v>39</v>
      </c>
      <c r="M23" s="11">
        <v>234</v>
      </c>
      <c r="N23" s="3">
        <f>N18*N20*N22</f>
        <v>0</v>
      </c>
      <c r="R23" s="3">
        <f t="shared" si="19"/>
        <v>0</v>
      </c>
      <c r="S23" s="3">
        <f t="shared" si="20"/>
        <v>0</v>
      </c>
      <c r="T23" s="3">
        <f t="shared" si="21"/>
        <v>0</v>
      </c>
      <c r="U23" s="3">
        <f t="shared" si="0"/>
        <v>0</v>
      </c>
      <c r="V23" s="3">
        <f t="shared" si="1"/>
        <v>0</v>
      </c>
      <c r="W23" s="3">
        <f t="shared" si="2"/>
        <v>0</v>
      </c>
      <c r="X23" s="3">
        <f t="shared" si="3"/>
        <v>0</v>
      </c>
      <c r="Y23" s="3">
        <f t="shared" si="4"/>
        <v>0</v>
      </c>
      <c r="Z23" s="3">
        <f t="shared" si="5"/>
        <v>0</v>
      </c>
      <c r="AA23" s="3">
        <f t="shared" si="6"/>
        <v>0</v>
      </c>
      <c r="AB23" s="3">
        <f t="shared" si="7"/>
        <v>0</v>
      </c>
      <c r="AC23" s="3">
        <f t="shared" si="8"/>
        <v>0</v>
      </c>
      <c r="AD23" s="3">
        <f t="shared" si="9"/>
        <v>0</v>
      </c>
      <c r="AE23" s="3">
        <f t="shared" si="10"/>
        <v>0</v>
      </c>
      <c r="AF23" s="3">
        <f t="shared" si="11"/>
        <v>0</v>
      </c>
      <c r="AG23" s="3">
        <f t="shared" si="12"/>
        <v>0</v>
      </c>
      <c r="AH23" s="3">
        <f t="shared" si="13"/>
        <v>0</v>
      </c>
      <c r="AI23" s="3">
        <f t="shared" si="14"/>
        <v>0</v>
      </c>
      <c r="AJ23" s="3">
        <f t="shared" si="15"/>
        <v>0</v>
      </c>
      <c r="AK23" s="3">
        <f t="shared" si="23"/>
        <v>0</v>
      </c>
      <c r="AL23" s="3">
        <f t="shared" si="22"/>
        <v>0</v>
      </c>
      <c r="AM23" s="5"/>
    </row>
    <row r="24" spans="1:39" ht="14.5" thickBot="1" x14ac:dyDescent="0.4">
      <c r="A24" s="5" t="s">
        <v>40</v>
      </c>
      <c r="B24" s="190" t="str">
        <f>IF(N18*N20=1,ABS(INT(N24+0.5)),"")</f>
        <v/>
      </c>
      <c r="C24" s="2" t="s">
        <v>41</v>
      </c>
      <c r="D24" s="17" t="str">
        <f>IF(O22=1,IF(N36=1," Currently  ("&amp;TEXT(O25,"00")&amp;" "&amp;TEXT(O26,"0000")&amp;") :-",IF(N29=1," Voyage Completed"," Voyage Pending"))," Status Unavailable")</f>
        <v xml:space="preserve"> Status Unavailable</v>
      </c>
      <c r="E24" s="18"/>
      <c r="F24" s="2"/>
      <c r="G24" s="4" t="str">
        <f t="shared" si="16"/>
        <v xml:space="preserve"> </v>
      </c>
      <c r="H24" s="5"/>
      <c r="I24" s="5" t="str">
        <f t="shared" si="17"/>
        <v xml:space="preserve"> </v>
      </c>
      <c r="J24" s="5" t="str">
        <f t="shared" si="18"/>
        <v/>
      </c>
      <c r="K24" s="14">
        <v>22</v>
      </c>
      <c r="L24" s="15" t="s">
        <v>42</v>
      </c>
      <c r="M24" s="11">
        <v>224.64</v>
      </c>
      <c r="N24" s="3">
        <f>IF(N18*N20=1,O20-O18,0)</f>
        <v>0</v>
      </c>
      <c r="O24" s="3">
        <f>SIGN(N24)</f>
        <v>0</v>
      </c>
      <c r="R24" s="3">
        <f t="shared" si="19"/>
        <v>0</v>
      </c>
      <c r="S24" s="3">
        <f t="shared" si="20"/>
        <v>0</v>
      </c>
      <c r="T24" s="3">
        <f t="shared" si="21"/>
        <v>0</v>
      </c>
      <c r="U24" s="3">
        <f t="shared" si="0"/>
        <v>0</v>
      </c>
      <c r="V24" s="3">
        <f t="shared" si="1"/>
        <v>0</v>
      </c>
      <c r="W24" s="3">
        <f t="shared" si="2"/>
        <v>0</v>
      </c>
      <c r="X24" s="3">
        <f t="shared" si="3"/>
        <v>0</v>
      </c>
      <c r="Y24" s="3">
        <f t="shared" si="4"/>
        <v>0</v>
      </c>
      <c r="Z24" s="3">
        <f t="shared" si="5"/>
        <v>0</v>
      </c>
      <c r="AA24" s="3">
        <f t="shared" si="6"/>
        <v>0</v>
      </c>
      <c r="AB24" s="3">
        <f t="shared" si="7"/>
        <v>0</v>
      </c>
      <c r="AC24" s="3">
        <f t="shared" si="8"/>
        <v>0</v>
      </c>
      <c r="AD24" s="3">
        <f t="shared" si="9"/>
        <v>0</v>
      </c>
      <c r="AE24" s="3">
        <f t="shared" si="10"/>
        <v>0</v>
      </c>
      <c r="AF24" s="3">
        <f t="shared" si="11"/>
        <v>0</v>
      </c>
      <c r="AG24" s="3">
        <f t="shared" si="12"/>
        <v>0</v>
      </c>
      <c r="AH24" s="3">
        <f t="shared" si="13"/>
        <v>0</v>
      </c>
      <c r="AI24" s="3">
        <f t="shared" si="14"/>
        <v>0</v>
      </c>
      <c r="AJ24" s="3">
        <f t="shared" si="15"/>
        <v>0</v>
      </c>
      <c r="AK24" s="3">
        <f t="shared" si="23"/>
        <v>0</v>
      </c>
      <c r="AL24" s="3">
        <f t="shared" si="22"/>
        <v>0</v>
      </c>
      <c r="AM24" s="5"/>
    </row>
    <row r="25" spans="1:39" ht="14.5" thickBot="1" x14ac:dyDescent="0.4">
      <c r="A25" s="2"/>
      <c r="B25" s="5"/>
      <c r="C25" s="2"/>
      <c r="D25" s="19" t="str">
        <f>IF(O22=1,IF(N36=1," "&amp;N32&amp;" n.m. from departure","   as at "&amp;TEXT(O25,"00")&amp;" "&amp;TEXT(O26,"0000"))," Insufficient Data")</f>
        <v xml:space="preserve"> Insufficient Data</v>
      </c>
      <c r="E25" s="20"/>
      <c r="F25" s="2"/>
      <c r="G25" s="4" t="str">
        <f t="shared" si="16"/>
        <v xml:space="preserve"> </v>
      </c>
      <c r="H25" s="5"/>
      <c r="I25" s="5" t="str">
        <f t="shared" si="17"/>
        <v xml:space="preserve"> </v>
      </c>
      <c r="J25" s="5" t="str">
        <f t="shared" si="18"/>
        <v/>
      </c>
      <c r="K25" s="12">
        <v>23</v>
      </c>
      <c r="L25" s="13" t="s">
        <v>43</v>
      </c>
      <c r="M25" s="11">
        <v>208.44</v>
      </c>
      <c r="N25" s="21">
        <f ca="1">NOW()</f>
        <v>45696.614189004627</v>
      </c>
      <c r="O25" s="3">
        <f ca="1">DAY(N25)</f>
        <v>8</v>
      </c>
      <c r="R25" s="3">
        <f t="shared" si="19"/>
        <v>0</v>
      </c>
      <c r="S25" s="3">
        <f t="shared" si="20"/>
        <v>0</v>
      </c>
      <c r="T25" s="3">
        <f t="shared" si="21"/>
        <v>0</v>
      </c>
      <c r="U25" s="3">
        <f t="shared" si="0"/>
        <v>0</v>
      </c>
      <c r="V25" s="3">
        <f t="shared" si="1"/>
        <v>0</v>
      </c>
      <c r="W25" s="3">
        <f t="shared" si="2"/>
        <v>0</v>
      </c>
      <c r="X25" s="3">
        <f t="shared" si="3"/>
        <v>0</v>
      </c>
      <c r="Y25" s="3">
        <f t="shared" si="4"/>
        <v>0</v>
      </c>
      <c r="Z25" s="3">
        <f t="shared" si="5"/>
        <v>0</v>
      </c>
      <c r="AA25" s="3">
        <f t="shared" si="6"/>
        <v>0</v>
      </c>
      <c r="AB25" s="3">
        <f t="shared" si="7"/>
        <v>0</v>
      </c>
      <c r="AC25" s="3">
        <f t="shared" si="8"/>
        <v>0</v>
      </c>
      <c r="AD25" s="3">
        <f t="shared" si="9"/>
        <v>0</v>
      </c>
      <c r="AE25" s="3">
        <f t="shared" si="10"/>
        <v>0</v>
      </c>
      <c r="AF25" s="3">
        <f t="shared" si="11"/>
        <v>0</v>
      </c>
      <c r="AG25" s="3">
        <f t="shared" si="12"/>
        <v>0</v>
      </c>
      <c r="AH25" s="3">
        <f t="shared" si="13"/>
        <v>0</v>
      </c>
      <c r="AI25" s="3">
        <f t="shared" si="14"/>
        <v>0</v>
      </c>
      <c r="AJ25" s="3">
        <f t="shared" si="15"/>
        <v>0</v>
      </c>
      <c r="AK25" s="3">
        <f t="shared" si="23"/>
        <v>0</v>
      </c>
      <c r="AL25" s="3">
        <f t="shared" si="22"/>
        <v>0</v>
      </c>
      <c r="AM25" s="2"/>
    </row>
    <row r="26" spans="1:39" ht="14.5" thickBot="1" x14ac:dyDescent="0.4">
      <c r="A26" s="5" t="s">
        <v>44</v>
      </c>
      <c r="B26" s="190" t="str">
        <f>IF(O22=1,TEXT(P37,"00")&amp;"   "&amp;TEXT(Q37,"0000"),"")</f>
        <v/>
      </c>
      <c r="C26" s="2" t="s">
        <v>45</v>
      </c>
      <c r="D26" s="19" t="str">
        <f>IF(O22=1,IF(N36=1," "&amp;N33&amp;" n.m. to destination",IF(N29=0,IF(ABS(N27)&lt;48," "&amp;INT(ABS(N27)*2)/2&amp;" hrs to departure"," "),IF((N27-N28)&lt;48," "&amp;INT((N27-N28)*2)/2&amp;" hrs since arrival","")))," ")</f>
        <v xml:space="preserve"> </v>
      </c>
      <c r="E26" s="20"/>
      <c r="F26" s="2"/>
      <c r="G26" s="4" t="str">
        <f t="shared" si="16"/>
        <v xml:space="preserve"> </v>
      </c>
      <c r="H26" s="5"/>
      <c r="I26" s="5" t="str">
        <f t="shared" si="17"/>
        <v xml:space="preserve"> </v>
      </c>
      <c r="J26" s="5" t="str">
        <f t="shared" si="18"/>
        <v/>
      </c>
      <c r="K26" s="14">
        <v>24</v>
      </c>
      <c r="L26" s="15" t="s">
        <v>46</v>
      </c>
      <c r="M26" s="11">
        <v>197</v>
      </c>
      <c r="N26" s="22">
        <f ca="1">IF(O17=1,DATEVALUE(B14&amp;"/"&amp;B12&amp;"/"&amp;B10)+TIMEVALUE(O16&amp;":"&amp;P16),N25-1)</f>
        <v>45695.614189004627</v>
      </c>
      <c r="O26" s="3">
        <f ca="1">HOUR(N25)*100+MINUTE(N25)</f>
        <v>1444</v>
      </c>
      <c r="R26" s="3">
        <f t="shared" si="19"/>
        <v>0</v>
      </c>
      <c r="S26" s="3">
        <f t="shared" si="20"/>
        <v>0</v>
      </c>
      <c r="T26" s="3">
        <f t="shared" si="21"/>
        <v>0</v>
      </c>
      <c r="U26" s="3">
        <f t="shared" si="0"/>
        <v>0</v>
      </c>
      <c r="V26" s="3">
        <f t="shared" si="1"/>
        <v>0</v>
      </c>
      <c r="W26" s="3">
        <f t="shared" si="2"/>
        <v>0</v>
      </c>
      <c r="X26" s="3">
        <f t="shared" si="3"/>
        <v>0</v>
      </c>
      <c r="Y26" s="3">
        <f t="shared" si="4"/>
        <v>0</v>
      </c>
      <c r="Z26" s="3">
        <f t="shared" si="5"/>
        <v>0</v>
      </c>
      <c r="AA26" s="3">
        <f t="shared" si="6"/>
        <v>0</v>
      </c>
      <c r="AB26" s="3">
        <f t="shared" si="7"/>
        <v>0</v>
      </c>
      <c r="AC26" s="3">
        <f t="shared" si="8"/>
        <v>0</v>
      </c>
      <c r="AD26" s="3">
        <f t="shared" si="9"/>
        <v>0</v>
      </c>
      <c r="AE26" s="3">
        <f t="shared" si="10"/>
        <v>0</v>
      </c>
      <c r="AF26" s="3">
        <f t="shared" si="11"/>
        <v>0</v>
      </c>
      <c r="AG26" s="3">
        <f t="shared" si="12"/>
        <v>0</v>
      </c>
      <c r="AH26" s="3">
        <f t="shared" si="13"/>
        <v>0</v>
      </c>
      <c r="AI26" s="3">
        <f t="shared" si="14"/>
        <v>0</v>
      </c>
      <c r="AJ26" s="3">
        <f t="shared" si="15"/>
        <v>0</v>
      </c>
      <c r="AK26" s="3">
        <f t="shared" si="23"/>
        <v>0</v>
      </c>
      <c r="AL26" s="3">
        <f t="shared" si="22"/>
        <v>0</v>
      </c>
      <c r="AM26" s="5"/>
    </row>
    <row r="27" spans="1:39" ht="14.5" thickBot="1" x14ac:dyDescent="0.4">
      <c r="A27" s="2"/>
      <c r="B27" s="5"/>
      <c r="C27" s="2"/>
      <c r="D27" s="19" t="str">
        <f>IF(O22=1,IF(N36=1," "&amp;N34&amp;" hrs from departure"," ")," ")</f>
        <v xml:space="preserve"> </v>
      </c>
      <c r="E27" s="20"/>
      <c r="F27" s="2"/>
      <c r="G27" s="4" t="str">
        <f t="shared" si="16"/>
        <v xml:space="preserve"> </v>
      </c>
      <c r="H27" s="5"/>
      <c r="I27" s="5" t="str">
        <f t="shared" si="17"/>
        <v xml:space="preserve"> </v>
      </c>
      <c r="J27" s="5" t="str">
        <f t="shared" si="18"/>
        <v/>
      </c>
      <c r="K27" s="14">
        <v>25</v>
      </c>
      <c r="L27" s="15" t="s">
        <v>47</v>
      </c>
      <c r="M27" s="11">
        <v>192.78</v>
      </c>
      <c r="N27" s="21">
        <f ca="1">(N25-N26)*24</f>
        <v>24</v>
      </c>
      <c r="R27" s="3">
        <f t="shared" si="19"/>
        <v>0</v>
      </c>
      <c r="S27" s="3">
        <f t="shared" si="20"/>
        <v>0</v>
      </c>
      <c r="T27" s="3">
        <f t="shared" si="21"/>
        <v>0</v>
      </c>
      <c r="U27" s="3">
        <f t="shared" si="0"/>
        <v>0</v>
      </c>
      <c r="V27" s="3">
        <f t="shared" si="1"/>
        <v>0</v>
      </c>
      <c r="W27" s="3">
        <f t="shared" si="2"/>
        <v>0</v>
      </c>
      <c r="X27" s="3">
        <f t="shared" si="3"/>
        <v>0</v>
      </c>
      <c r="Y27" s="3">
        <f t="shared" si="4"/>
        <v>0</v>
      </c>
      <c r="Z27" s="3">
        <f t="shared" si="5"/>
        <v>0</v>
      </c>
      <c r="AA27" s="3">
        <f t="shared" si="6"/>
        <v>0</v>
      </c>
      <c r="AB27" s="3">
        <f t="shared" si="7"/>
        <v>0</v>
      </c>
      <c r="AC27" s="3">
        <f t="shared" si="8"/>
        <v>0</v>
      </c>
      <c r="AD27" s="3">
        <f t="shared" si="9"/>
        <v>0</v>
      </c>
      <c r="AE27" s="3">
        <f t="shared" si="10"/>
        <v>0</v>
      </c>
      <c r="AF27" s="3">
        <f t="shared" si="11"/>
        <v>0</v>
      </c>
      <c r="AG27" s="3">
        <f t="shared" si="12"/>
        <v>0</v>
      </c>
      <c r="AH27" s="3">
        <f t="shared" si="13"/>
        <v>0</v>
      </c>
      <c r="AI27" s="3">
        <f t="shared" si="14"/>
        <v>0</v>
      </c>
      <c r="AJ27" s="3">
        <f t="shared" si="15"/>
        <v>0</v>
      </c>
      <c r="AK27" s="3">
        <f t="shared" si="23"/>
        <v>0</v>
      </c>
      <c r="AL27" s="3">
        <f t="shared" si="22"/>
        <v>0</v>
      </c>
      <c r="AM27" s="2"/>
    </row>
    <row r="28" spans="1:39" ht="14.5" thickBot="1" x14ac:dyDescent="0.4">
      <c r="A28" s="5" t="s">
        <v>48</v>
      </c>
      <c r="B28" s="191" t="str">
        <f>IF(N23=1,INT(ABS(N28)*2+0.5)/2,"")</f>
        <v/>
      </c>
      <c r="C28" s="2" t="s">
        <v>49</v>
      </c>
      <c r="D28" s="23" t="str">
        <f>IF(O22=1,IF(N36=1," "&amp;N35&amp;" hrs to destination"," ")," ")</f>
        <v xml:space="preserve"> </v>
      </c>
      <c r="E28" s="24"/>
      <c r="F28" s="2"/>
      <c r="G28" s="4" t="str">
        <f t="shared" si="16"/>
        <v xml:space="preserve"> </v>
      </c>
      <c r="H28" s="5"/>
      <c r="I28" s="5" t="str">
        <f t="shared" si="17"/>
        <v xml:space="preserve"> </v>
      </c>
      <c r="J28" s="5" t="str">
        <f t="shared" si="18"/>
        <v/>
      </c>
      <c r="K28" s="12">
        <v>26</v>
      </c>
      <c r="L28" s="13" t="s">
        <v>50</v>
      </c>
      <c r="M28" s="11">
        <v>168.48</v>
      </c>
      <c r="N28" s="3">
        <f>IF(N23=1,ABS(N24/B22),0)</f>
        <v>0</v>
      </c>
      <c r="O28" s="3">
        <f>IF(O22=1,INT(ABS(N28)),0)</f>
        <v>0</v>
      </c>
      <c r="P28" s="3">
        <f>IF(O22=1,INT((N28-O28)*60+0.5),0)</f>
        <v>0</v>
      </c>
      <c r="Q28" s="3" t="s">
        <v>51</v>
      </c>
      <c r="R28" s="3">
        <f t="shared" si="19"/>
        <v>0</v>
      </c>
      <c r="S28" s="3">
        <f t="shared" si="20"/>
        <v>0</v>
      </c>
      <c r="T28" s="3">
        <f t="shared" si="21"/>
        <v>0</v>
      </c>
      <c r="U28" s="3">
        <f t="shared" si="0"/>
        <v>0</v>
      </c>
      <c r="V28" s="3">
        <f t="shared" si="1"/>
        <v>0</v>
      </c>
      <c r="W28" s="3">
        <f t="shared" si="2"/>
        <v>0</v>
      </c>
      <c r="X28" s="3">
        <f t="shared" si="3"/>
        <v>0</v>
      </c>
      <c r="Y28" s="3">
        <f t="shared" si="4"/>
        <v>0</v>
      </c>
      <c r="Z28" s="3">
        <f t="shared" si="5"/>
        <v>0</v>
      </c>
      <c r="AA28" s="3">
        <f t="shared" si="6"/>
        <v>0</v>
      </c>
      <c r="AB28" s="3">
        <f t="shared" si="7"/>
        <v>0</v>
      </c>
      <c r="AC28" s="3">
        <f t="shared" si="8"/>
        <v>0</v>
      </c>
      <c r="AD28" s="3">
        <f t="shared" si="9"/>
        <v>0</v>
      </c>
      <c r="AE28" s="3">
        <f t="shared" si="10"/>
        <v>0</v>
      </c>
      <c r="AF28" s="3">
        <f t="shared" si="11"/>
        <v>0</v>
      </c>
      <c r="AG28" s="3">
        <f t="shared" si="12"/>
        <v>0</v>
      </c>
      <c r="AH28" s="3">
        <f t="shared" si="13"/>
        <v>0</v>
      </c>
      <c r="AI28" s="3">
        <f t="shared" si="14"/>
        <v>0</v>
      </c>
      <c r="AJ28" s="3">
        <f t="shared" si="15"/>
        <v>0</v>
      </c>
      <c r="AK28" s="3">
        <f t="shared" si="23"/>
        <v>0</v>
      </c>
      <c r="AL28" s="3">
        <f t="shared" si="22"/>
        <v>0</v>
      </c>
      <c r="AM28" s="5"/>
    </row>
    <row r="29" spans="1:39" x14ac:dyDescent="0.35">
      <c r="A29" s="5"/>
      <c r="B29" s="2"/>
      <c r="C29" s="5"/>
      <c r="D29" s="25" t="s">
        <v>52</v>
      </c>
      <c r="E29" s="5"/>
      <c r="F29" s="2"/>
      <c r="G29" s="4" t="str">
        <f t="shared" si="16"/>
        <v xml:space="preserve"> </v>
      </c>
      <c r="H29" s="5"/>
      <c r="I29" s="5" t="str">
        <f t="shared" si="17"/>
        <v xml:space="preserve"> </v>
      </c>
      <c r="J29" s="5" t="str">
        <f t="shared" si="18"/>
        <v/>
      </c>
      <c r="K29" s="12">
        <v>27</v>
      </c>
      <c r="L29" s="13" t="s">
        <v>53</v>
      </c>
      <c r="M29" s="11">
        <v>140.4</v>
      </c>
      <c r="N29" s="3">
        <f>MAX(0,MIN(IF(N28&gt;0,N27/N28,1),1),0)</f>
        <v>1</v>
      </c>
      <c r="P29" s="3">
        <f>INT((P16+P28)/15+0.5)*15</f>
        <v>0</v>
      </c>
      <c r="Q29" s="3" t="s">
        <v>54</v>
      </c>
      <c r="R29" s="3">
        <f t="shared" si="19"/>
        <v>0</v>
      </c>
      <c r="S29" s="3">
        <f t="shared" si="20"/>
        <v>0</v>
      </c>
      <c r="T29" s="3">
        <f t="shared" si="21"/>
        <v>0</v>
      </c>
      <c r="U29" s="3">
        <f t="shared" si="0"/>
        <v>0</v>
      </c>
      <c r="V29" s="3">
        <f t="shared" si="1"/>
        <v>0</v>
      </c>
      <c r="W29" s="3">
        <f t="shared" si="2"/>
        <v>0</v>
      </c>
      <c r="X29" s="3">
        <f t="shared" si="3"/>
        <v>0</v>
      </c>
      <c r="Y29" s="3">
        <f t="shared" si="4"/>
        <v>0</v>
      </c>
      <c r="Z29" s="3">
        <f t="shared" si="5"/>
        <v>0</v>
      </c>
      <c r="AA29" s="3">
        <f t="shared" si="6"/>
        <v>0</v>
      </c>
      <c r="AB29" s="3">
        <f t="shared" si="7"/>
        <v>0</v>
      </c>
      <c r="AC29" s="3">
        <f t="shared" si="8"/>
        <v>0</v>
      </c>
      <c r="AD29" s="3">
        <f t="shared" si="9"/>
        <v>0</v>
      </c>
      <c r="AE29" s="3">
        <f t="shared" si="10"/>
        <v>0</v>
      </c>
      <c r="AF29" s="3">
        <f t="shared" si="11"/>
        <v>0</v>
      </c>
      <c r="AG29" s="3">
        <f t="shared" si="12"/>
        <v>0</v>
      </c>
      <c r="AH29" s="3">
        <f t="shared" si="13"/>
        <v>0</v>
      </c>
      <c r="AI29" s="3">
        <f t="shared" si="14"/>
        <v>0</v>
      </c>
      <c r="AJ29" s="3">
        <f t="shared" si="15"/>
        <v>0</v>
      </c>
      <c r="AK29" s="3">
        <f t="shared" si="23"/>
        <v>0</v>
      </c>
      <c r="AL29" s="3">
        <f t="shared" si="22"/>
        <v>0</v>
      </c>
      <c r="AM29" s="5"/>
    </row>
    <row r="30" spans="1:39" x14ac:dyDescent="0.35">
      <c r="A30" s="5"/>
      <c r="B30" s="2" t="s">
        <v>55</v>
      </c>
      <c r="C30" s="5"/>
      <c r="D30" s="2"/>
      <c r="E30" s="5"/>
      <c r="F30" s="2"/>
      <c r="G30" s="4" t="str">
        <f t="shared" si="16"/>
        <v xml:space="preserve"> </v>
      </c>
      <c r="H30" s="5"/>
      <c r="I30" s="5" t="str">
        <f t="shared" si="17"/>
        <v xml:space="preserve"> </v>
      </c>
      <c r="J30" s="5" t="str">
        <f t="shared" si="18"/>
        <v/>
      </c>
      <c r="K30" s="14">
        <v>28</v>
      </c>
      <c r="L30" s="15" t="s">
        <v>56</v>
      </c>
      <c r="M30" s="11">
        <v>130.68</v>
      </c>
      <c r="N30" s="3">
        <f>N29*ABS(N24)</f>
        <v>0</v>
      </c>
      <c r="O30" s="3">
        <f>INT(P29/60)</f>
        <v>0</v>
      </c>
      <c r="P30" s="3">
        <f>P29-O30*60</f>
        <v>0</v>
      </c>
      <c r="Q30" s="3" t="s">
        <v>51</v>
      </c>
      <c r="R30" s="3">
        <f t="shared" si="19"/>
        <v>0</v>
      </c>
      <c r="S30" s="3">
        <f t="shared" si="20"/>
        <v>0</v>
      </c>
      <c r="T30" s="3">
        <f t="shared" si="21"/>
        <v>0</v>
      </c>
      <c r="U30" s="3">
        <f t="shared" si="0"/>
        <v>0</v>
      </c>
      <c r="V30" s="3">
        <f t="shared" si="1"/>
        <v>0</v>
      </c>
      <c r="W30" s="3">
        <f t="shared" si="2"/>
        <v>0</v>
      </c>
      <c r="X30" s="3">
        <f t="shared" si="3"/>
        <v>0</v>
      </c>
      <c r="Y30" s="3">
        <f t="shared" si="4"/>
        <v>0</v>
      </c>
      <c r="Z30" s="3">
        <f t="shared" si="5"/>
        <v>0</v>
      </c>
      <c r="AA30" s="3">
        <f t="shared" si="6"/>
        <v>0</v>
      </c>
      <c r="AB30" s="3">
        <f t="shared" si="7"/>
        <v>0</v>
      </c>
      <c r="AC30" s="3">
        <f t="shared" si="8"/>
        <v>0</v>
      </c>
      <c r="AD30" s="3">
        <f t="shared" si="9"/>
        <v>0</v>
      </c>
      <c r="AE30" s="3">
        <f t="shared" si="10"/>
        <v>0</v>
      </c>
      <c r="AF30" s="3">
        <f t="shared" si="11"/>
        <v>0</v>
      </c>
      <c r="AG30" s="3">
        <f t="shared" si="12"/>
        <v>0</v>
      </c>
      <c r="AH30" s="3">
        <f t="shared" si="13"/>
        <v>0</v>
      </c>
      <c r="AI30" s="3">
        <f t="shared" si="14"/>
        <v>0</v>
      </c>
      <c r="AJ30" s="3">
        <f t="shared" si="15"/>
        <v>0</v>
      </c>
      <c r="AK30" s="3">
        <f t="shared" si="23"/>
        <v>0</v>
      </c>
      <c r="AL30" s="3">
        <f t="shared" si="22"/>
        <v>0</v>
      </c>
      <c r="AM30" s="5"/>
    </row>
    <row r="31" spans="1:39" x14ac:dyDescent="0.35">
      <c r="A31" s="5"/>
      <c r="B31" s="2" t="s">
        <v>57</v>
      </c>
      <c r="C31" s="5"/>
      <c r="D31" s="2"/>
      <c r="E31" s="5"/>
      <c r="F31" s="2"/>
      <c r="G31" s="4" t="str">
        <f t="shared" si="16"/>
        <v xml:space="preserve"> </v>
      </c>
      <c r="H31" s="5"/>
      <c r="I31" s="5" t="str">
        <f t="shared" si="17"/>
        <v xml:space="preserve"> </v>
      </c>
      <c r="J31" s="5" t="str">
        <f t="shared" si="18"/>
        <v/>
      </c>
      <c r="K31" s="12">
        <v>29</v>
      </c>
      <c r="L31" s="13" t="s">
        <v>58</v>
      </c>
      <c r="M31" s="11">
        <v>111.24</v>
      </c>
      <c r="N31" s="3">
        <f>(1-N29)*ABS(N24)</f>
        <v>0</v>
      </c>
      <c r="P31" s="3">
        <f>O30+O28+O16</f>
        <v>0</v>
      </c>
      <c r="Q31" s="3" t="s">
        <v>59</v>
      </c>
      <c r="R31" s="3">
        <f t="shared" si="19"/>
        <v>0</v>
      </c>
      <c r="S31" s="3">
        <f t="shared" si="20"/>
        <v>0</v>
      </c>
      <c r="T31" s="3">
        <f t="shared" si="21"/>
        <v>0</v>
      </c>
      <c r="U31" s="3">
        <f t="shared" si="0"/>
        <v>0</v>
      </c>
      <c r="V31" s="3">
        <f t="shared" si="1"/>
        <v>0</v>
      </c>
      <c r="W31" s="3">
        <f t="shared" si="2"/>
        <v>0</v>
      </c>
      <c r="X31" s="3">
        <f t="shared" si="3"/>
        <v>0</v>
      </c>
      <c r="Y31" s="3">
        <f t="shared" si="4"/>
        <v>0</v>
      </c>
      <c r="Z31" s="3">
        <f t="shared" si="5"/>
        <v>0</v>
      </c>
      <c r="AA31" s="3">
        <f t="shared" si="6"/>
        <v>0</v>
      </c>
      <c r="AB31" s="3">
        <f t="shared" si="7"/>
        <v>0</v>
      </c>
      <c r="AC31" s="3">
        <f t="shared" si="8"/>
        <v>0</v>
      </c>
      <c r="AD31" s="3">
        <f t="shared" si="9"/>
        <v>0</v>
      </c>
      <c r="AE31" s="3">
        <f t="shared" si="10"/>
        <v>0</v>
      </c>
      <c r="AF31" s="3">
        <f t="shared" si="11"/>
        <v>0</v>
      </c>
      <c r="AG31" s="3">
        <f t="shared" si="12"/>
        <v>0</v>
      </c>
      <c r="AH31" s="3">
        <f t="shared" si="13"/>
        <v>0</v>
      </c>
      <c r="AI31" s="3">
        <f t="shared" si="14"/>
        <v>0</v>
      </c>
      <c r="AJ31" s="3">
        <f t="shared" si="15"/>
        <v>0</v>
      </c>
      <c r="AK31" s="3">
        <f t="shared" si="23"/>
        <v>0</v>
      </c>
      <c r="AL31" s="3">
        <f t="shared" si="22"/>
        <v>0</v>
      </c>
      <c r="AM31" s="5"/>
    </row>
    <row r="32" spans="1:39" x14ac:dyDescent="0.35">
      <c r="A32" s="5"/>
      <c r="B32" s="2" t="s">
        <v>60</v>
      </c>
      <c r="C32" s="5"/>
      <c r="D32" s="2"/>
      <c r="E32" s="5"/>
      <c r="F32" s="2"/>
      <c r="G32" s="4" t="str">
        <f t="shared" si="16"/>
        <v xml:space="preserve"> </v>
      </c>
      <c r="H32" s="5"/>
      <c r="I32" s="5" t="str">
        <f t="shared" si="17"/>
        <v xml:space="preserve"> </v>
      </c>
      <c r="J32" s="5" t="str">
        <f t="shared" si="18"/>
        <v/>
      </c>
      <c r="K32" s="14">
        <v>30</v>
      </c>
      <c r="L32" s="15" t="s">
        <v>61</v>
      </c>
      <c r="M32" s="11">
        <v>98.280000000000186</v>
      </c>
      <c r="N32" s="3" t="e">
        <f>B24-N33</f>
        <v>#VALUE!</v>
      </c>
      <c r="O32" s="3">
        <f>INT(P31/24)</f>
        <v>0</v>
      </c>
      <c r="P32" s="3">
        <f>P31-O32*24</f>
        <v>0</v>
      </c>
      <c r="Q32" s="3" t="s">
        <v>62</v>
      </c>
      <c r="R32" s="3">
        <f t="shared" si="19"/>
        <v>0</v>
      </c>
      <c r="S32" s="3">
        <f t="shared" si="20"/>
        <v>0</v>
      </c>
      <c r="T32" s="3">
        <f t="shared" si="21"/>
        <v>0</v>
      </c>
      <c r="U32" s="3">
        <f t="shared" si="0"/>
        <v>0</v>
      </c>
      <c r="V32" s="3">
        <f t="shared" si="1"/>
        <v>0</v>
      </c>
      <c r="W32" s="3">
        <f t="shared" si="2"/>
        <v>0</v>
      </c>
      <c r="X32" s="3">
        <f t="shared" si="3"/>
        <v>0</v>
      </c>
      <c r="Y32" s="3">
        <f t="shared" si="4"/>
        <v>0</v>
      </c>
      <c r="Z32" s="3">
        <f t="shared" si="5"/>
        <v>0</v>
      </c>
      <c r="AA32" s="3">
        <f t="shared" si="6"/>
        <v>0</v>
      </c>
      <c r="AB32" s="3">
        <f t="shared" si="7"/>
        <v>0</v>
      </c>
      <c r="AC32" s="3">
        <f t="shared" si="8"/>
        <v>0</v>
      </c>
      <c r="AD32" s="3">
        <f t="shared" si="9"/>
        <v>0</v>
      </c>
      <c r="AE32" s="3">
        <f t="shared" si="10"/>
        <v>0</v>
      </c>
      <c r="AF32" s="3">
        <f t="shared" si="11"/>
        <v>0</v>
      </c>
      <c r="AG32" s="3">
        <f t="shared" si="12"/>
        <v>0</v>
      </c>
      <c r="AH32" s="3">
        <f t="shared" si="13"/>
        <v>0</v>
      </c>
      <c r="AI32" s="3">
        <f t="shared" si="14"/>
        <v>0</v>
      </c>
      <c r="AJ32" s="3">
        <f t="shared" si="15"/>
        <v>0</v>
      </c>
      <c r="AK32" s="3">
        <f t="shared" si="23"/>
        <v>0</v>
      </c>
      <c r="AL32" s="3">
        <f t="shared" si="22"/>
        <v>0</v>
      </c>
      <c r="AM32" s="5"/>
    </row>
    <row r="33" spans="1:39" x14ac:dyDescent="0.35">
      <c r="A33" s="5"/>
      <c r="B33" s="2" t="s">
        <v>63</v>
      </c>
      <c r="C33" s="5"/>
      <c r="D33" s="2"/>
      <c r="E33" s="5"/>
      <c r="F33" s="2"/>
      <c r="G33" s="4" t="str">
        <f t="shared" si="16"/>
        <v xml:space="preserve"> </v>
      </c>
      <c r="H33" s="5"/>
      <c r="I33" s="5" t="str">
        <f t="shared" si="17"/>
        <v xml:space="preserve"> </v>
      </c>
      <c r="J33" s="5" t="str">
        <f t="shared" si="18"/>
        <v/>
      </c>
      <c r="K33" s="12">
        <v>31</v>
      </c>
      <c r="L33" s="13" t="s">
        <v>64</v>
      </c>
      <c r="M33" s="11">
        <v>86.4</v>
      </c>
      <c r="N33" s="3">
        <f>INT(N31+0.5)</f>
        <v>0</v>
      </c>
      <c r="P33" s="3">
        <f>O32+B14</f>
        <v>0</v>
      </c>
      <c r="Q33" s="3" t="s">
        <v>65</v>
      </c>
      <c r="R33" s="3">
        <f t="shared" si="19"/>
        <v>0</v>
      </c>
      <c r="S33" s="3">
        <f t="shared" si="20"/>
        <v>0</v>
      </c>
      <c r="T33" s="3">
        <f t="shared" si="21"/>
        <v>0</v>
      </c>
      <c r="U33" s="3">
        <f t="shared" si="0"/>
        <v>0</v>
      </c>
      <c r="V33" s="3">
        <f t="shared" si="1"/>
        <v>0</v>
      </c>
      <c r="W33" s="3">
        <f t="shared" si="2"/>
        <v>0</v>
      </c>
      <c r="X33" s="3">
        <f t="shared" si="3"/>
        <v>0</v>
      </c>
      <c r="Y33" s="3">
        <f t="shared" si="4"/>
        <v>0</v>
      </c>
      <c r="Z33" s="3">
        <f t="shared" si="5"/>
        <v>0</v>
      </c>
      <c r="AA33" s="3">
        <f t="shared" si="6"/>
        <v>0</v>
      </c>
      <c r="AB33" s="3">
        <f t="shared" si="7"/>
        <v>0</v>
      </c>
      <c r="AC33" s="3">
        <f t="shared" si="8"/>
        <v>0</v>
      </c>
      <c r="AD33" s="3">
        <f t="shared" si="9"/>
        <v>0</v>
      </c>
      <c r="AE33" s="3">
        <f t="shared" si="10"/>
        <v>0</v>
      </c>
      <c r="AF33" s="3">
        <f t="shared" si="11"/>
        <v>0</v>
      </c>
      <c r="AG33" s="3">
        <f t="shared" si="12"/>
        <v>0</v>
      </c>
      <c r="AH33" s="3">
        <f t="shared" si="13"/>
        <v>0</v>
      </c>
      <c r="AI33" s="3">
        <f t="shared" si="14"/>
        <v>0</v>
      </c>
      <c r="AJ33" s="3">
        <f t="shared" si="15"/>
        <v>0</v>
      </c>
      <c r="AK33" s="3">
        <f t="shared" si="23"/>
        <v>0</v>
      </c>
      <c r="AL33" s="3">
        <f t="shared" si="22"/>
        <v>0</v>
      </c>
      <c r="AM33" s="5"/>
    </row>
    <row r="34" spans="1:39" x14ac:dyDescent="0.35">
      <c r="A34" s="5"/>
      <c r="B34" s="2" t="s">
        <v>66</v>
      </c>
      <c r="C34" s="5"/>
      <c r="D34" s="2"/>
      <c r="E34" s="5"/>
      <c r="F34" s="2"/>
      <c r="G34" s="4" t="str">
        <f t="shared" si="16"/>
        <v xml:space="preserve"> </v>
      </c>
      <c r="H34" s="5"/>
      <c r="I34" s="5" t="str">
        <f t="shared" si="17"/>
        <v xml:space="preserve"> </v>
      </c>
      <c r="J34" s="5" t="str">
        <f t="shared" si="18"/>
        <v/>
      </c>
      <c r="K34" s="12">
        <v>32</v>
      </c>
      <c r="L34" s="13" t="s">
        <v>67</v>
      </c>
      <c r="M34" s="11">
        <v>54</v>
      </c>
      <c r="N34" s="26" t="e">
        <f ca="1">B28-N35</f>
        <v>#VALUE!</v>
      </c>
      <c r="O34" s="3">
        <f>IF(P33&gt;N13,1,0)</f>
        <v>0</v>
      </c>
      <c r="P34" s="3">
        <f>IF(P33&gt;N13,P33-N13,P33)</f>
        <v>0</v>
      </c>
      <c r="Q34" s="3" t="s">
        <v>68</v>
      </c>
      <c r="R34" s="3">
        <f t="shared" si="19"/>
        <v>0</v>
      </c>
      <c r="S34" s="3">
        <f t="shared" si="20"/>
        <v>0</v>
      </c>
      <c r="T34" s="3">
        <f t="shared" si="21"/>
        <v>0</v>
      </c>
      <c r="U34" s="3">
        <f t="shared" si="0"/>
        <v>0</v>
      </c>
      <c r="V34" s="3">
        <f t="shared" si="1"/>
        <v>0</v>
      </c>
      <c r="W34" s="3">
        <f t="shared" si="2"/>
        <v>0</v>
      </c>
      <c r="X34" s="3">
        <f t="shared" si="3"/>
        <v>0</v>
      </c>
      <c r="Y34" s="3">
        <f t="shared" si="4"/>
        <v>0</v>
      </c>
      <c r="Z34" s="3">
        <f t="shared" si="5"/>
        <v>0</v>
      </c>
      <c r="AA34" s="3">
        <f t="shared" si="6"/>
        <v>0</v>
      </c>
      <c r="AB34" s="3">
        <f t="shared" si="7"/>
        <v>0</v>
      </c>
      <c r="AC34" s="3">
        <f t="shared" si="8"/>
        <v>0</v>
      </c>
      <c r="AD34" s="3">
        <f t="shared" si="9"/>
        <v>0</v>
      </c>
      <c r="AE34" s="3">
        <f t="shared" si="10"/>
        <v>0</v>
      </c>
      <c r="AF34" s="3">
        <f t="shared" si="11"/>
        <v>0</v>
      </c>
      <c r="AG34" s="3">
        <f t="shared" si="12"/>
        <v>0</v>
      </c>
      <c r="AH34" s="3">
        <f t="shared" si="13"/>
        <v>0</v>
      </c>
      <c r="AI34" s="3">
        <f t="shared" si="14"/>
        <v>0</v>
      </c>
      <c r="AJ34" s="3">
        <f t="shared" si="15"/>
        <v>0</v>
      </c>
      <c r="AK34" s="3">
        <f t="shared" si="23"/>
        <v>0</v>
      </c>
      <c r="AL34" s="3">
        <f t="shared" si="22"/>
        <v>0</v>
      </c>
      <c r="AM34" s="5"/>
    </row>
    <row r="35" spans="1:39" x14ac:dyDescent="0.35">
      <c r="A35" s="5"/>
      <c r="B35" s="2" t="s">
        <v>69</v>
      </c>
      <c r="C35" s="5"/>
      <c r="D35" s="2"/>
      <c r="E35" s="5"/>
      <c r="F35" s="2"/>
      <c r="G35" s="4" t="str">
        <f t="shared" si="16"/>
        <v xml:space="preserve"> </v>
      </c>
      <c r="H35" s="5"/>
      <c r="I35" s="5" t="str">
        <f t="shared" si="17"/>
        <v xml:space="preserve"> </v>
      </c>
      <c r="J35" s="5" t="str">
        <f t="shared" si="18"/>
        <v/>
      </c>
      <c r="K35" s="14">
        <v>33</v>
      </c>
      <c r="L35" s="15" t="s">
        <v>70</v>
      </c>
      <c r="M35" s="11">
        <v>42.119999999999813</v>
      </c>
      <c r="N35" s="27">
        <f ca="1">INT((N28-N27)*2+0.5)/2</f>
        <v>-24</v>
      </c>
      <c r="P35" s="3">
        <f>O34+B12</f>
        <v>0</v>
      </c>
      <c r="Q35" s="3" t="s">
        <v>71</v>
      </c>
      <c r="R35" s="3">
        <f t="shared" si="19"/>
        <v>0</v>
      </c>
      <c r="S35" s="3">
        <f t="shared" si="20"/>
        <v>0</v>
      </c>
      <c r="T35" s="3">
        <f t="shared" si="21"/>
        <v>0</v>
      </c>
      <c r="U35" s="3">
        <f t="shared" si="0"/>
        <v>0</v>
      </c>
      <c r="V35" s="3">
        <f t="shared" si="1"/>
        <v>0</v>
      </c>
      <c r="W35" s="3">
        <f t="shared" si="2"/>
        <v>0</v>
      </c>
      <c r="X35" s="3">
        <f t="shared" si="3"/>
        <v>0</v>
      </c>
      <c r="Y35" s="3">
        <f t="shared" si="4"/>
        <v>0</v>
      </c>
      <c r="Z35" s="3">
        <f t="shared" si="5"/>
        <v>0</v>
      </c>
      <c r="AA35" s="3">
        <f t="shared" si="6"/>
        <v>0</v>
      </c>
      <c r="AB35" s="3">
        <f t="shared" si="7"/>
        <v>0</v>
      </c>
      <c r="AC35" s="3">
        <f t="shared" si="8"/>
        <v>0</v>
      </c>
      <c r="AD35" s="3">
        <f t="shared" si="9"/>
        <v>0</v>
      </c>
      <c r="AE35" s="3">
        <f t="shared" si="10"/>
        <v>0</v>
      </c>
      <c r="AF35" s="3">
        <f t="shared" si="11"/>
        <v>0</v>
      </c>
      <c r="AG35" s="3">
        <f t="shared" si="12"/>
        <v>0</v>
      </c>
      <c r="AH35" s="3">
        <f t="shared" si="13"/>
        <v>0</v>
      </c>
      <c r="AI35" s="3">
        <f t="shared" si="14"/>
        <v>0</v>
      </c>
      <c r="AJ35" s="3">
        <f t="shared" si="15"/>
        <v>0</v>
      </c>
      <c r="AK35" s="3">
        <f t="shared" si="23"/>
        <v>0</v>
      </c>
      <c r="AL35" s="3">
        <f t="shared" si="22"/>
        <v>0</v>
      </c>
      <c r="AM35" s="5"/>
    </row>
    <row r="36" spans="1:39" x14ac:dyDescent="0.35">
      <c r="A36" s="5"/>
      <c r="B36" s="2" t="s">
        <v>72</v>
      </c>
      <c r="C36" s="5"/>
      <c r="D36" s="2"/>
      <c r="E36" s="5"/>
      <c r="F36" s="2"/>
      <c r="G36" s="4" t="str">
        <f t="shared" si="16"/>
        <v xml:space="preserve"> </v>
      </c>
      <c r="H36" s="5"/>
      <c r="I36" s="5" t="str">
        <f t="shared" si="17"/>
        <v xml:space="preserve"> </v>
      </c>
      <c r="J36" s="5" t="str">
        <f t="shared" si="18"/>
        <v/>
      </c>
      <c r="K36" s="14">
        <v>34</v>
      </c>
      <c r="L36" s="15" t="s">
        <v>73</v>
      </c>
      <c r="M36" s="11">
        <v>9.7199999999998123</v>
      </c>
      <c r="N36" s="3">
        <f>IF(AND(N29&gt;0,N29&lt;1),1,0)</f>
        <v>0</v>
      </c>
      <c r="O36" s="3">
        <f>IF(P35&gt;12,1,0)</f>
        <v>0</v>
      </c>
      <c r="P36" s="3">
        <f>IF(P35&gt;12,P35-12,P35)</f>
        <v>0</v>
      </c>
      <c r="Q36" s="3" t="s">
        <v>74</v>
      </c>
      <c r="R36" s="3">
        <f t="shared" si="19"/>
        <v>0</v>
      </c>
      <c r="S36" s="3">
        <f t="shared" si="20"/>
        <v>0</v>
      </c>
      <c r="T36" s="3">
        <f t="shared" si="21"/>
        <v>0</v>
      </c>
      <c r="U36" s="3">
        <f t="shared" si="0"/>
        <v>0</v>
      </c>
      <c r="V36" s="3">
        <f t="shared" si="1"/>
        <v>0</v>
      </c>
      <c r="W36" s="3">
        <f t="shared" si="2"/>
        <v>0</v>
      </c>
      <c r="X36" s="3">
        <f t="shared" si="3"/>
        <v>0</v>
      </c>
      <c r="Y36" s="3">
        <f t="shared" si="4"/>
        <v>0</v>
      </c>
      <c r="Z36" s="3">
        <f t="shared" si="5"/>
        <v>0</v>
      </c>
      <c r="AA36" s="3">
        <f t="shared" si="6"/>
        <v>0</v>
      </c>
      <c r="AB36" s="3">
        <f t="shared" si="7"/>
        <v>0</v>
      </c>
      <c r="AC36" s="3">
        <f t="shared" si="8"/>
        <v>0</v>
      </c>
      <c r="AD36" s="3">
        <f t="shared" si="9"/>
        <v>0</v>
      </c>
      <c r="AE36" s="3">
        <f t="shared" si="10"/>
        <v>0</v>
      </c>
      <c r="AF36" s="3">
        <f t="shared" si="11"/>
        <v>0</v>
      </c>
      <c r="AG36" s="3">
        <f t="shared" si="12"/>
        <v>0</v>
      </c>
      <c r="AH36" s="3">
        <f t="shared" si="13"/>
        <v>0</v>
      </c>
      <c r="AI36" s="3">
        <f t="shared" si="14"/>
        <v>0</v>
      </c>
      <c r="AJ36" s="3">
        <f t="shared" si="15"/>
        <v>0</v>
      </c>
      <c r="AK36" s="3">
        <f t="shared" si="23"/>
        <v>0</v>
      </c>
      <c r="AL36" s="3">
        <f t="shared" si="22"/>
        <v>0</v>
      </c>
      <c r="AM36" s="5"/>
    </row>
    <row r="37" spans="1:39" x14ac:dyDescent="0.35">
      <c r="A37" s="5"/>
      <c r="B37" s="2" t="s">
        <v>75</v>
      </c>
      <c r="C37" s="5"/>
      <c r="D37" s="5"/>
      <c r="E37" s="5"/>
      <c r="F37" s="2"/>
      <c r="G37" s="4" t="str">
        <f t="shared" si="16"/>
        <v xml:space="preserve"> </v>
      </c>
      <c r="H37" s="5"/>
      <c r="I37" s="5" t="str">
        <f t="shared" si="17"/>
        <v xml:space="preserve"> </v>
      </c>
      <c r="J37" s="5" t="str">
        <f t="shared" si="18"/>
        <v/>
      </c>
      <c r="K37" s="12">
        <v>35</v>
      </c>
      <c r="L37" s="13" t="s">
        <v>76</v>
      </c>
      <c r="M37" s="11">
        <v>0</v>
      </c>
      <c r="N37" s="3">
        <f>B10+O36</f>
        <v>0</v>
      </c>
      <c r="O37" s="3">
        <f>P36</f>
        <v>0</v>
      </c>
      <c r="P37" s="3">
        <f>P34</f>
        <v>0</v>
      </c>
      <c r="Q37" s="3">
        <f>P32*100+P30</f>
        <v>0</v>
      </c>
      <c r="R37" s="3">
        <f t="shared" si="19"/>
        <v>0</v>
      </c>
      <c r="S37" s="3">
        <f t="shared" si="20"/>
        <v>0</v>
      </c>
      <c r="T37" s="3">
        <f t="shared" si="21"/>
        <v>0</v>
      </c>
      <c r="U37" s="3">
        <f t="shared" si="0"/>
        <v>0</v>
      </c>
      <c r="V37" s="3">
        <f t="shared" si="1"/>
        <v>0</v>
      </c>
      <c r="W37" s="3">
        <f t="shared" si="2"/>
        <v>0</v>
      </c>
      <c r="X37" s="3">
        <f t="shared" si="3"/>
        <v>0</v>
      </c>
      <c r="Y37" s="3">
        <f t="shared" si="4"/>
        <v>0</v>
      </c>
      <c r="Z37" s="3">
        <f t="shared" si="5"/>
        <v>0</v>
      </c>
      <c r="AA37" s="3">
        <f t="shared" si="6"/>
        <v>0</v>
      </c>
      <c r="AB37" s="3">
        <f t="shared" si="7"/>
        <v>0</v>
      </c>
      <c r="AC37" s="3">
        <f t="shared" si="8"/>
        <v>0</v>
      </c>
      <c r="AD37" s="3">
        <f t="shared" si="9"/>
        <v>0</v>
      </c>
      <c r="AE37" s="3">
        <f t="shared" si="10"/>
        <v>0</v>
      </c>
      <c r="AF37" s="3">
        <f t="shared" si="11"/>
        <v>0</v>
      </c>
      <c r="AG37" s="3">
        <f t="shared" si="12"/>
        <v>0</v>
      </c>
      <c r="AH37" s="3">
        <f t="shared" si="13"/>
        <v>0</v>
      </c>
      <c r="AI37" s="3">
        <f t="shared" si="14"/>
        <v>0</v>
      </c>
      <c r="AJ37" s="3">
        <f t="shared" si="15"/>
        <v>0</v>
      </c>
      <c r="AK37" s="3">
        <f t="shared" si="23"/>
        <v>0</v>
      </c>
      <c r="AL37" s="3">
        <f t="shared" si="22"/>
        <v>0</v>
      </c>
      <c r="AM37" s="5"/>
    </row>
    <row r="38" spans="1:39" x14ac:dyDescent="0.35">
      <c r="A38" s="5"/>
      <c r="B38" s="2"/>
      <c r="C38" s="5"/>
      <c r="D38" s="5"/>
      <c r="E38" s="5"/>
      <c r="F38" s="2"/>
      <c r="G38" s="5"/>
      <c r="H38" s="5"/>
      <c r="I38" s="5"/>
      <c r="J38" s="5"/>
      <c r="K38" s="5"/>
      <c r="L38" s="5"/>
      <c r="U38" s="28" t="s">
        <v>59</v>
      </c>
      <c r="V38" s="3" t="s">
        <v>54</v>
      </c>
      <c r="W38" s="29" t="s">
        <v>54</v>
      </c>
      <c r="X38" s="28" t="s">
        <v>59</v>
      </c>
      <c r="Y38" s="3" t="s">
        <v>54</v>
      </c>
      <c r="Z38" s="29" t="s">
        <v>59</v>
      </c>
      <c r="AA38" s="28" t="s">
        <v>65</v>
      </c>
      <c r="AB38" s="3" t="s">
        <v>59</v>
      </c>
      <c r="AC38" s="29" t="s">
        <v>65</v>
      </c>
      <c r="AD38" s="28" t="s">
        <v>71</v>
      </c>
      <c r="AE38" s="3" t="s">
        <v>65</v>
      </c>
      <c r="AF38" s="29" t="s">
        <v>71</v>
      </c>
      <c r="AG38" s="28" t="s">
        <v>77</v>
      </c>
      <c r="AH38" s="3" t="s">
        <v>71</v>
      </c>
      <c r="AK38" s="3">
        <v>0</v>
      </c>
      <c r="AM38" s="5"/>
    </row>
    <row r="39" spans="1:39" x14ac:dyDescent="0.35">
      <c r="A39" s="5"/>
      <c r="B39" s="2" t="s">
        <v>78</v>
      </c>
      <c r="C39" s="5"/>
      <c r="D39" s="5"/>
      <c r="E39" s="5"/>
      <c r="F39" s="2"/>
      <c r="G39" s="5"/>
      <c r="H39" s="5"/>
      <c r="I39" s="5"/>
      <c r="J39" s="5"/>
      <c r="K39" s="5"/>
      <c r="L39" s="5"/>
      <c r="AM39" s="5"/>
    </row>
    <row r="40" spans="1:39" x14ac:dyDescent="0.35">
      <c r="A40" s="5"/>
      <c r="B40" s="2"/>
      <c r="C40" s="5"/>
      <c r="D40" s="5"/>
      <c r="E40" s="5"/>
      <c r="F40" s="5"/>
      <c r="G40" s="5"/>
      <c r="H40" s="5"/>
      <c r="I40" s="5"/>
      <c r="J40" s="5"/>
      <c r="K40" s="5"/>
      <c r="L40" s="5"/>
      <c r="AM40" s="5"/>
    </row>
  </sheetData>
  <sheetProtection algorithmName="SHA-512" hashValue="xRbVnQyvYsDuxl64bGT1XVA8IspuqdPcXKGAC5XqZyNmlcneZcfUe/us1UNc4FGcC5tn2kbHQzpF6XilMLdG0Q==" saltValue="QmltqU9c1hXRbeQJuAvNqw==" spinCount="100000" sheet="1" objects="1" scenarios="1" selectLockedCells="1"/>
  <mergeCells count="2">
    <mergeCell ref="B4:E4"/>
    <mergeCell ref="B6:E6"/>
  </mergeCells>
  <conditionalFormatting sqref="E10:E22">
    <cfRule type="cellIs" dxfId="1" priority="1" stopIfTrue="1" operator="notEqual">
      <formula>" "</formula>
    </cfRule>
  </conditionalFormatting>
  <conditionalFormatting sqref="G2:G37 I2:I37">
    <cfRule type="cellIs" dxfId="0" priority="2" stopIfTrue="1" operator="notEqual">
      <formula>" 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FE84-2EE7-4D2A-8726-EC93268F9985}">
  <dimension ref="A1:I55"/>
  <sheetViews>
    <sheetView workbookViewId="0">
      <selection activeCell="A13" sqref="A13"/>
    </sheetView>
  </sheetViews>
  <sheetFormatPr defaultColWidth="0" defaultRowHeight="14.5" zeroHeight="1" x14ac:dyDescent="0.35"/>
  <cols>
    <col min="1" max="9" width="9.1796875" customWidth="1"/>
    <col min="10" max="16384" width="9.1796875" hidden="1"/>
  </cols>
  <sheetData>
    <row r="1" spans="1:8" ht="15.5" thickTop="1" thickBot="1" x14ac:dyDescent="0.4">
      <c r="A1" s="626" t="s">
        <v>174</v>
      </c>
      <c r="B1" s="627"/>
      <c r="C1" s="136" t="s">
        <v>175</v>
      </c>
      <c r="D1" s="628" t="s">
        <v>176</v>
      </c>
      <c r="E1" s="628"/>
      <c r="F1" s="136" t="s">
        <v>177</v>
      </c>
      <c r="G1" s="628" t="s">
        <v>166</v>
      </c>
      <c r="H1" s="629"/>
    </row>
    <row r="2" spans="1:8" ht="15.5" thickTop="1" thickBot="1" x14ac:dyDescent="0.4">
      <c r="A2" s="137" t="s">
        <v>178</v>
      </c>
      <c r="B2" s="138" t="s">
        <v>179</v>
      </c>
      <c r="C2" s="139" t="s">
        <v>178</v>
      </c>
      <c r="D2" s="138" t="s">
        <v>179</v>
      </c>
      <c r="E2" s="139" t="s">
        <v>178</v>
      </c>
      <c r="F2" s="138" t="s">
        <v>179</v>
      </c>
      <c r="G2" s="139" t="s">
        <v>178</v>
      </c>
      <c r="H2" s="140" t="s">
        <v>179</v>
      </c>
    </row>
    <row r="3" spans="1:8" ht="15" thickTop="1" x14ac:dyDescent="0.35">
      <c r="A3" s="141" t="s">
        <v>180</v>
      </c>
      <c r="B3" s="142" t="s">
        <v>181</v>
      </c>
      <c r="C3" s="143" t="s">
        <v>182</v>
      </c>
      <c r="D3" s="142" t="s">
        <v>181</v>
      </c>
      <c r="E3" s="144" t="s">
        <v>183</v>
      </c>
      <c r="F3" s="142" t="s">
        <v>184</v>
      </c>
      <c r="G3" s="144" t="s">
        <v>185</v>
      </c>
      <c r="H3" s="145" t="s">
        <v>181</v>
      </c>
    </row>
    <row r="4" spans="1:8" x14ac:dyDescent="0.35">
      <c r="A4" s="146" t="s">
        <v>186</v>
      </c>
      <c r="B4" s="147" t="s">
        <v>181</v>
      </c>
      <c r="C4" s="148" t="s">
        <v>187</v>
      </c>
      <c r="D4" s="147" t="s">
        <v>181</v>
      </c>
      <c r="E4" s="148" t="s">
        <v>188</v>
      </c>
      <c r="F4" s="147" t="s">
        <v>184</v>
      </c>
      <c r="G4" s="148" t="s">
        <v>189</v>
      </c>
      <c r="H4" s="149" t="s">
        <v>181</v>
      </c>
    </row>
    <row r="5" spans="1:8" x14ac:dyDescent="0.35">
      <c r="A5" s="146" t="s">
        <v>190</v>
      </c>
      <c r="B5" s="147" t="s">
        <v>181</v>
      </c>
      <c r="C5" s="148" t="s">
        <v>191</v>
      </c>
      <c r="D5" s="147" t="s">
        <v>181</v>
      </c>
      <c r="E5" s="148" t="s">
        <v>192</v>
      </c>
      <c r="F5" s="147" t="s">
        <v>184</v>
      </c>
      <c r="G5" s="148" t="s">
        <v>193</v>
      </c>
      <c r="H5" s="149" t="s">
        <v>181</v>
      </c>
    </row>
    <row r="6" spans="1:8" x14ac:dyDescent="0.35">
      <c r="A6" s="146" t="s">
        <v>194</v>
      </c>
      <c r="B6" s="147" t="s">
        <v>181</v>
      </c>
      <c r="C6" s="148" t="s">
        <v>195</v>
      </c>
      <c r="D6" s="147" t="s">
        <v>181</v>
      </c>
      <c r="E6" s="148" t="s">
        <v>196</v>
      </c>
      <c r="F6" s="147" t="s">
        <v>184</v>
      </c>
      <c r="G6" s="148" t="s">
        <v>197</v>
      </c>
      <c r="H6" s="149" t="s">
        <v>181</v>
      </c>
    </row>
    <row r="7" spans="1:8" x14ac:dyDescent="0.35">
      <c r="A7" s="146" t="s">
        <v>198</v>
      </c>
      <c r="B7" s="147" t="s">
        <v>181</v>
      </c>
      <c r="C7" s="148" t="s">
        <v>199</v>
      </c>
      <c r="D7" s="147" t="s">
        <v>200</v>
      </c>
      <c r="E7" s="148" t="s">
        <v>201</v>
      </c>
      <c r="F7" s="147" t="s">
        <v>184</v>
      </c>
      <c r="G7" s="148" t="s">
        <v>202</v>
      </c>
      <c r="H7" s="149" t="s">
        <v>181</v>
      </c>
    </row>
    <row r="8" spans="1:8" x14ac:dyDescent="0.35">
      <c r="A8" s="150" t="s">
        <v>203</v>
      </c>
      <c r="B8" s="151" t="s">
        <v>181</v>
      </c>
      <c r="C8" s="152" t="s">
        <v>204</v>
      </c>
      <c r="D8" s="151" t="s">
        <v>184</v>
      </c>
      <c r="E8" s="152" t="s">
        <v>205</v>
      </c>
      <c r="F8" s="151" t="s">
        <v>184</v>
      </c>
      <c r="G8" s="152" t="s">
        <v>206</v>
      </c>
      <c r="H8" s="153" t="s">
        <v>181</v>
      </c>
    </row>
    <row r="9" spans="1:8" x14ac:dyDescent="0.35">
      <c r="A9" s="146" t="s">
        <v>207</v>
      </c>
      <c r="B9" s="147" t="s">
        <v>181</v>
      </c>
      <c r="C9" s="148" t="s">
        <v>208</v>
      </c>
      <c r="D9" s="147" t="s">
        <v>184</v>
      </c>
      <c r="E9" s="148" t="s">
        <v>209</v>
      </c>
      <c r="F9" s="147" t="s">
        <v>200</v>
      </c>
      <c r="G9" s="148" t="s">
        <v>210</v>
      </c>
      <c r="H9" s="149" t="s">
        <v>181</v>
      </c>
    </row>
    <row r="10" spans="1:8" x14ac:dyDescent="0.35">
      <c r="A10" s="146" t="s">
        <v>211</v>
      </c>
      <c r="B10" s="147" t="s">
        <v>181</v>
      </c>
      <c r="C10" s="148" t="s">
        <v>212</v>
      </c>
      <c r="D10" s="147" t="s">
        <v>184</v>
      </c>
      <c r="E10" s="148" t="s">
        <v>213</v>
      </c>
      <c r="F10" s="147" t="s">
        <v>181</v>
      </c>
      <c r="G10" s="148" t="s">
        <v>214</v>
      </c>
      <c r="H10" s="149" t="s">
        <v>181</v>
      </c>
    </row>
    <row r="11" spans="1:8" x14ac:dyDescent="0.35">
      <c r="A11" s="146" t="s">
        <v>215</v>
      </c>
      <c r="B11" s="147" t="s">
        <v>181</v>
      </c>
      <c r="C11" s="148" t="s">
        <v>216</v>
      </c>
      <c r="D11" s="147" t="s">
        <v>184</v>
      </c>
      <c r="E11" s="148" t="s">
        <v>217</v>
      </c>
      <c r="F11" s="147" t="s">
        <v>181</v>
      </c>
      <c r="G11" s="148" t="s">
        <v>218</v>
      </c>
      <c r="H11" s="149" t="s">
        <v>181</v>
      </c>
    </row>
    <row r="12" spans="1:8" ht="15" thickBot="1" x14ac:dyDescent="0.4">
      <c r="A12" s="154" t="s">
        <v>219</v>
      </c>
      <c r="B12" s="155" t="s">
        <v>181</v>
      </c>
      <c r="C12" s="156" t="s">
        <v>220</v>
      </c>
      <c r="D12" s="155" t="s">
        <v>184</v>
      </c>
      <c r="E12" s="156" t="s">
        <v>221</v>
      </c>
      <c r="F12" s="155" t="s">
        <v>181</v>
      </c>
      <c r="G12" s="156" t="s">
        <v>222</v>
      </c>
      <c r="H12" s="157" t="s">
        <v>181</v>
      </c>
    </row>
    <row r="13" spans="1:8" ht="15" thickTop="1" x14ac:dyDescent="0.35"/>
    <row r="14" spans="1:8" x14ac:dyDescent="0.35"/>
    <row r="15" spans="1:8" x14ac:dyDescent="0.35"/>
    <row r="16" spans="1:8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</sheetData>
  <sheetProtection algorithmName="SHA-512" hashValue="KZaTQWtgoHgPcYxWkOTiXGFKCP6I3W+bszODyFXkdz6Av4kU3tjCiBeFfDFdGGM7rmVPs00UAbsxdoVjNCIf7g==" saltValue="pfayhSdzx+WrHoy+h/TZhA==" spinCount="100000" sheet="1" objects="1" scenarios="1"/>
  <mergeCells count="3">
    <mergeCell ref="A1:B1"/>
    <mergeCell ref="D1:E1"/>
    <mergeCell ref="G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3D20-40F9-4192-B56A-D613CB05A42D}">
  <dimension ref="A1:J57"/>
  <sheetViews>
    <sheetView workbookViewId="0">
      <selection activeCell="B15" sqref="B15"/>
    </sheetView>
  </sheetViews>
  <sheetFormatPr defaultColWidth="0" defaultRowHeight="14.5" zeroHeight="1" x14ac:dyDescent="0.35"/>
  <cols>
    <col min="1" max="10" width="9.1796875" customWidth="1"/>
    <col min="11" max="16384" width="9.1796875" hidden="1"/>
  </cols>
  <sheetData>
    <row r="1" spans="1:8" ht="15.5" thickTop="1" thickBot="1" x14ac:dyDescent="0.4">
      <c r="A1" s="626" t="s">
        <v>174</v>
      </c>
      <c r="B1" s="627"/>
      <c r="C1" s="136" t="s">
        <v>175</v>
      </c>
      <c r="D1" s="628" t="s">
        <v>223</v>
      </c>
      <c r="E1" s="628"/>
      <c r="F1" s="136" t="s">
        <v>177</v>
      </c>
      <c r="G1" s="628" t="s">
        <v>224</v>
      </c>
      <c r="H1" s="629"/>
    </row>
    <row r="2" spans="1:8" ht="15.5" thickTop="1" thickBot="1" x14ac:dyDescent="0.4">
      <c r="A2" s="137" t="s">
        <v>178</v>
      </c>
      <c r="B2" s="138" t="s">
        <v>179</v>
      </c>
      <c r="C2" s="139" t="s">
        <v>178</v>
      </c>
      <c r="D2" s="138" t="s">
        <v>179</v>
      </c>
      <c r="E2" s="139" t="s">
        <v>178</v>
      </c>
      <c r="F2" s="138" t="s">
        <v>179</v>
      </c>
      <c r="G2" s="139" t="s">
        <v>178</v>
      </c>
      <c r="H2" s="140" t="s">
        <v>179</v>
      </c>
    </row>
    <row r="3" spans="1:8" ht="15" thickTop="1" x14ac:dyDescent="0.35">
      <c r="A3" s="141" t="s">
        <v>180</v>
      </c>
      <c r="B3" s="142" t="s">
        <v>181</v>
      </c>
      <c r="C3" s="143" t="s">
        <v>182</v>
      </c>
      <c r="D3" s="142" t="s">
        <v>301</v>
      </c>
      <c r="E3" s="144" t="s">
        <v>183</v>
      </c>
      <c r="F3" s="142" t="s">
        <v>200</v>
      </c>
      <c r="G3" s="144" t="s">
        <v>185</v>
      </c>
      <c r="H3" s="145" t="s">
        <v>311</v>
      </c>
    </row>
    <row r="4" spans="1:8" x14ac:dyDescent="0.35">
      <c r="A4" s="146" t="s">
        <v>186</v>
      </c>
      <c r="B4" s="147" t="s">
        <v>298</v>
      </c>
      <c r="C4" s="148" t="s">
        <v>187</v>
      </c>
      <c r="D4" s="147" t="s">
        <v>302</v>
      </c>
      <c r="E4" s="148" t="s">
        <v>188</v>
      </c>
      <c r="F4" s="147" t="s">
        <v>298</v>
      </c>
      <c r="G4" s="148" t="s">
        <v>189</v>
      </c>
      <c r="H4" s="149" t="s">
        <v>311</v>
      </c>
    </row>
    <row r="5" spans="1:8" x14ac:dyDescent="0.35">
      <c r="A5" s="146" t="s">
        <v>190</v>
      </c>
      <c r="B5" s="147" t="s">
        <v>305</v>
      </c>
      <c r="C5" s="148" t="s">
        <v>191</v>
      </c>
      <c r="D5" s="147" t="s">
        <v>314</v>
      </c>
      <c r="E5" s="148" t="s">
        <v>192</v>
      </c>
      <c r="F5" s="147" t="s">
        <v>298</v>
      </c>
      <c r="G5" s="148" t="s">
        <v>193</v>
      </c>
      <c r="H5" s="149" t="s">
        <v>312</v>
      </c>
    </row>
    <row r="6" spans="1:8" x14ac:dyDescent="0.35">
      <c r="A6" s="146" t="s">
        <v>194</v>
      </c>
      <c r="B6" s="147" t="s">
        <v>298</v>
      </c>
      <c r="C6" s="148" t="s">
        <v>195</v>
      </c>
      <c r="D6" s="147" t="s">
        <v>302</v>
      </c>
      <c r="E6" s="148" t="s">
        <v>196</v>
      </c>
      <c r="F6" s="147" t="s">
        <v>305</v>
      </c>
      <c r="G6" s="148" t="s">
        <v>197</v>
      </c>
      <c r="H6" s="149" t="s">
        <v>308</v>
      </c>
    </row>
    <row r="7" spans="1:8" x14ac:dyDescent="0.35">
      <c r="A7" s="146" t="s">
        <v>198</v>
      </c>
      <c r="B7" s="142" t="s">
        <v>181</v>
      </c>
      <c r="C7" s="148" t="s">
        <v>199</v>
      </c>
      <c r="D7" s="147" t="s">
        <v>301</v>
      </c>
      <c r="E7" s="148" t="s">
        <v>201</v>
      </c>
      <c r="F7" s="147" t="s">
        <v>306</v>
      </c>
      <c r="G7" s="148" t="s">
        <v>202</v>
      </c>
      <c r="H7" s="149" t="s">
        <v>307</v>
      </c>
    </row>
    <row r="8" spans="1:8" x14ac:dyDescent="0.35">
      <c r="A8" s="150" t="s">
        <v>203</v>
      </c>
      <c r="B8" s="151" t="s">
        <v>299</v>
      </c>
      <c r="C8" s="152" t="s">
        <v>204</v>
      </c>
      <c r="D8" s="151" t="s">
        <v>300</v>
      </c>
      <c r="E8" s="152" t="s">
        <v>205</v>
      </c>
      <c r="F8" s="151" t="s">
        <v>307</v>
      </c>
      <c r="G8" s="152" t="s">
        <v>206</v>
      </c>
      <c r="H8" s="153" t="s">
        <v>306</v>
      </c>
    </row>
    <row r="9" spans="1:8" x14ac:dyDescent="0.35">
      <c r="A9" s="146" t="s">
        <v>207</v>
      </c>
      <c r="B9" s="147" t="s">
        <v>200</v>
      </c>
      <c r="C9" s="148" t="s">
        <v>208</v>
      </c>
      <c r="D9" s="147" t="s">
        <v>300</v>
      </c>
      <c r="E9" s="148" t="s">
        <v>209</v>
      </c>
      <c r="F9" s="147" t="s">
        <v>308</v>
      </c>
      <c r="G9" s="148" t="s">
        <v>210</v>
      </c>
      <c r="H9" s="149" t="s">
        <v>313</v>
      </c>
    </row>
    <row r="10" spans="1:8" x14ac:dyDescent="0.35">
      <c r="A10" s="146" t="s">
        <v>211</v>
      </c>
      <c r="B10" s="147" t="s">
        <v>200</v>
      </c>
      <c r="C10" s="148" t="s">
        <v>212</v>
      </c>
      <c r="D10" s="147" t="s">
        <v>303</v>
      </c>
      <c r="E10" s="148" t="s">
        <v>213</v>
      </c>
      <c r="F10" s="147" t="s">
        <v>309</v>
      </c>
      <c r="G10" s="148" t="s">
        <v>214</v>
      </c>
      <c r="H10" s="149" t="s">
        <v>305</v>
      </c>
    </row>
    <row r="11" spans="1:8" x14ac:dyDescent="0.35">
      <c r="A11" s="146" t="s">
        <v>215</v>
      </c>
      <c r="B11" s="147" t="s">
        <v>184</v>
      </c>
      <c r="C11" s="148" t="s">
        <v>216</v>
      </c>
      <c r="D11" s="147" t="s">
        <v>184</v>
      </c>
      <c r="E11" s="148" t="s">
        <v>217</v>
      </c>
      <c r="F11" s="147" t="s">
        <v>310</v>
      </c>
      <c r="G11" s="148" t="s">
        <v>218</v>
      </c>
      <c r="H11" s="149" t="s">
        <v>298</v>
      </c>
    </row>
    <row r="12" spans="1:8" ht="15" thickBot="1" x14ac:dyDescent="0.4">
      <c r="A12" s="154" t="s">
        <v>219</v>
      </c>
      <c r="B12" s="155" t="s">
        <v>300</v>
      </c>
      <c r="C12" s="156" t="s">
        <v>220</v>
      </c>
      <c r="D12" s="155" t="s">
        <v>304</v>
      </c>
      <c r="E12" s="156" t="s">
        <v>221</v>
      </c>
      <c r="F12" s="155" t="s">
        <v>311</v>
      </c>
      <c r="G12" s="156" t="s">
        <v>222</v>
      </c>
      <c r="H12" s="157" t="s">
        <v>181</v>
      </c>
    </row>
    <row r="13" spans="1:8" ht="15" thickTop="1" x14ac:dyDescent="0.35"/>
    <row r="14" spans="1:8" x14ac:dyDescent="0.35">
      <c r="B14" s="62" t="s">
        <v>315</v>
      </c>
    </row>
    <row r="15" spans="1:8" x14ac:dyDescent="0.35"/>
    <row r="16" spans="1:8" x14ac:dyDescent="0.35">
      <c r="H16" s="74" t="s">
        <v>181</v>
      </c>
    </row>
    <row r="17" spans="8:8" x14ac:dyDescent="0.35">
      <c r="H17" s="210" t="s">
        <v>298</v>
      </c>
    </row>
    <row r="18" spans="8:8" x14ac:dyDescent="0.35">
      <c r="H18" s="210" t="s">
        <v>305</v>
      </c>
    </row>
    <row r="19" spans="8:8" x14ac:dyDescent="0.35">
      <c r="H19" s="210" t="s">
        <v>298</v>
      </c>
    </row>
    <row r="20" spans="8:8" x14ac:dyDescent="0.35">
      <c r="H20" s="74" t="s">
        <v>181</v>
      </c>
    </row>
    <row r="21" spans="8:8" x14ac:dyDescent="0.35">
      <c r="H21" s="74" t="s">
        <v>299</v>
      </c>
    </row>
    <row r="22" spans="8:8" x14ac:dyDescent="0.35">
      <c r="H22" s="210" t="s">
        <v>200</v>
      </c>
    </row>
    <row r="23" spans="8:8" x14ac:dyDescent="0.35">
      <c r="H23" s="210" t="s">
        <v>200</v>
      </c>
    </row>
    <row r="24" spans="8:8" x14ac:dyDescent="0.35">
      <c r="H24" s="210" t="s">
        <v>184</v>
      </c>
    </row>
    <row r="25" spans="8:8" x14ac:dyDescent="0.35">
      <c r="H25" s="210" t="s">
        <v>300</v>
      </c>
    </row>
    <row r="26" spans="8:8" x14ac:dyDescent="0.35">
      <c r="H26" s="74" t="s">
        <v>301</v>
      </c>
    </row>
    <row r="27" spans="8:8" x14ac:dyDescent="0.35">
      <c r="H27" s="210" t="s">
        <v>302</v>
      </c>
    </row>
    <row r="28" spans="8:8" x14ac:dyDescent="0.35">
      <c r="H28" s="210" t="s">
        <v>314</v>
      </c>
    </row>
    <row r="29" spans="8:8" x14ac:dyDescent="0.35">
      <c r="H29" s="210" t="s">
        <v>302</v>
      </c>
    </row>
    <row r="30" spans="8:8" x14ac:dyDescent="0.35">
      <c r="H30" s="210" t="s">
        <v>301</v>
      </c>
    </row>
    <row r="31" spans="8:8" x14ac:dyDescent="0.35">
      <c r="H31" s="74" t="s">
        <v>300</v>
      </c>
    </row>
    <row r="32" spans="8:8" x14ac:dyDescent="0.35">
      <c r="H32" s="210" t="s">
        <v>300</v>
      </c>
    </row>
    <row r="33" spans="8:8" x14ac:dyDescent="0.35">
      <c r="H33" s="210" t="s">
        <v>303</v>
      </c>
    </row>
    <row r="34" spans="8:8" x14ac:dyDescent="0.35">
      <c r="H34" s="210" t="s">
        <v>184</v>
      </c>
    </row>
    <row r="35" spans="8:8" x14ac:dyDescent="0.35">
      <c r="H35" s="210" t="s">
        <v>304</v>
      </c>
    </row>
    <row r="36" spans="8:8" x14ac:dyDescent="0.35">
      <c r="H36" s="74" t="s">
        <v>200</v>
      </c>
    </row>
    <row r="37" spans="8:8" x14ac:dyDescent="0.35">
      <c r="H37" s="210" t="s">
        <v>298</v>
      </c>
    </row>
    <row r="38" spans="8:8" x14ac:dyDescent="0.35">
      <c r="H38" s="210" t="s">
        <v>298</v>
      </c>
    </row>
    <row r="39" spans="8:8" x14ac:dyDescent="0.35">
      <c r="H39" s="210" t="s">
        <v>305</v>
      </c>
    </row>
    <row r="40" spans="8:8" x14ac:dyDescent="0.35">
      <c r="H40" s="210" t="s">
        <v>306</v>
      </c>
    </row>
    <row r="41" spans="8:8" x14ac:dyDescent="0.35">
      <c r="H41" s="74" t="s">
        <v>307</v>
      </c>
    </row>
    <row r="42" spans="8:8" x14ac:dyDescent="0.35">
      <c r="H42" s="210" t="s">
        <v>308</v>
      </c>
    </row>
    <row r="43" spans="8:8" x14ac:dyDescent="0.35">
      <c r="H43" s="210" t="s">
        <v>309</v>
      </c>
    </row>
    <row r="44" spans="8:8" x14ac:dyDescent="0.35">
      <c r="H44" s="210" t="s">
        <v>310</v>
      </c>
    </row>
    <row r="45" spans="8:8" x14ac:dyDescent="0.35">
      <c r="H45" s="210" t="s">
        <v>311</v>
      </c>
    </row>
    <row r="46" spans="8:8" x14ac:dyDescent="0.35">
      <c r="H46" s="74" t="s">
        <v>311</v>
      </c>
    </row>
    <row r="47" spans="8:8" x14ac:dyDescent="0.35">
      <c r="H47" s="210" t="s">
        <v>311</v>
      </c>
    </row>
    <row r="48" spans="8:8" x14ac:dyDescent="0.35">
      <c r="H48" s="210" t="s">
        <v>312</v>
      </c>
    </row>
    <row r="49" spans="8:8" x14ac:dyDescent="0.35">
      <c r="H49" s="210" t="s">
        <v>308</v>
      </c>
    </row>
    <row r="50" spans="8:8" x14ac:dyDescent="0.35">
      <c r="H50" s="210" t="s">
        <v>307</v>
      </c>
    </row>
    <row r="51" spans="8:8" x14ac:dyDescent="0.35">
      <c r="H51" s="74" t="s">
        <v>306</v>
      </c>
    </row>
    <row r="52" spans="8:8" x14ac:dyDescent="0.35">
      <c r="H52" s="210" t="s">
        <v>313</v>
      </c>
    </row>
    <row r="53" spans="8:8" x14ac:dyDescent="0.35">
      <c r="H53" s="210" t="s">
        <v>305</v>
      </c>
    </row>
    <row r="54" spans="8:8" x14ac:dyDescent="0.35">
      <c r="H54" s="210" t="s">
        <v>298</v>
      </c>
    </row>
    <row r="55" spans="8:8" x14ac:dyDescent="0.35">
      <c r="H55" s="210" t="s">
        <v>181</v>
      </c>
    </row>
    <row r="56" spans="8:8" x14ac:dyDescent="0.35"/>
    <row r="57" spans="8:8" x14ac:dyDescent="0.35"/>
  </sheetData>
  <sheetProtection algorithmName="SHA-512" hashValue="GOsuNl32pFMv/9cnOfd6Mh7Gq4N+Qb8zCieiM0bvxTqZDlgW6iZ+AUiXQrCfrJKyuxUunjYDssBZKQQc3Pes9g==" saltValue="vTesvLTmz1ZK5SIkYrxFzA==" spinCount="100000" sheet="1" objects="1" scenarios="1"/>
  <mergeCells count="3">
    <mergeCell ref="A1:B1"/>
    <mergeCell ref="D1:E1"/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7C1C-4A59-4E59-A3F6-1CBA8170BE87}">
  <dimension ref="A1:AA58"/>
  <sheetViews>
    <sheetView workbookViewId="0">
      <selection activeCell="J4" sqref="J4"/>
    </sheetView>
  </sheetViews>
  <sheetFormatPr defaultColWidth="0" defaultRowHeight="14.5" zeroHeight="1" x14ac:dyDescent="0.35"/>
  <cols>
    <col min="1" max="1" width="0.6328125" style="194" customWidth="1"/>
    <col min="2" max="2" width="11.453125" bestFit="1" customWidth="1"/>
    <col min="3" max="3" width="8.984375E-2" customWidth="1"/>
    <col min="4" max="7" width="9.1796875" customWidth="1"/>
    <col min="8" max="8" width="1.453125" customWidth="1"/>
    <col min="9" max="9" width="4.453125" bestFit="1" customWidth="1"/>
    <col min="10" max="10" width="9.26953125" customWidth="1"/>
    <col min="11" max="11" width="8.453125" customWidth="1"/>
    <col min="12" max="12" width="7.26953125" bestFit="1" customWidth="1"/>
    <col min="13" max="13" width="10.08984375" hidden="1" customWidth="1"/>
    <col min="14" max="14" width="10.08984375" customWidth="1"/>
    <col min="15" max="15" width="9.1796875" customWidth="1"/>
    <col min="16" max="16" width="9.1796875" hidden="1" customWidth="1"/>
    <col min="17" max="17" width="9.1796875" customWidth="1"/>
    <col min="18" max="25" width="9.1796875" hidden="1" customWidth="1"/>
    <col min="26" max="27" width="9.1796875" customWidth="1"/>
    <col min="28" max="16384" width="9.1796875" hidden="1"/>
  </cols>
  <sheetData>
    <row r="1" spans="2:26" ht="15.75" customHeight="1" thickBot="1" x14ac:dyDescent="0.4">
      <c r="B1" s="468" t="s">
        <v>268</v>
      </c>
      <c r="C1" s="469"/>
      <c r="D1" s="469"/>
      <c r="E1" s="469"/>
      <c r="F1" s="469"/>
      <c r="G1" s="470"/>
      <c r="H1" s="194"/>
      <c r="I1" s="471" t="s">
        <v>269</v>
      </c>
      <c r="J1" s="472"/>
      <c r="K1" s="472"/>
      <c r="L1" s="472"/>
      <c r="M1" s="472"/>
      <c r="N1" s="472"/>
      <c r="O1" s="473"/>
    </row>
    <row r="2" spans="2:26" ht="15.75" customHeight="1" thickBot="1" x14ac:dyDescent="0.4">
      <c r="B2" s="195" t="s">
        <v>135</v>
      </c>
      <c r="C2" s="196" t="s">
        <v>270</v>
      </c>
      <c r="D2" s="197" t="s">
        <v>136</v>
      </c>
      <c r="E2" s="198" t="s">
        <v>137</v>
      </c>
      <c r="F2" s="474" t="s">
        <v>271</v>
      </c>
      <c r="G2" s="475"/>
      <c r="H2" s="194"/>
      <c r="I2" s="480" t="s">
        <v>272</v>
      </c>
      <c r="J2" s="199" t="s">
        <v>131</v>
      </c>
      <c r="K2" s="482" t="s">
        <v>40</v>
      </c>
      <c r="L2" s="200" t="s">
        <v>40</v>
      </c>
      <c r="M2" s="201"/>
      <c r="N2" s="199" t="s">
        <v>25</v>
      </c>
      <c r="O2" s="484" t="s">
        <v>273</v>
      </c>
    </row>
    <row r="3" spans="2:26" ht="15" thickBot="1" x14ac:dyDescent="0.4">
      <c r="B3" s="202">
        <v>264</v>
      </c>
      <c r="C3" s="203"/>
      <c r="D3" s="204">
        <f>(B3+E3)</f>
        <v>251</v>
      </c>
      <c r="E3" s="205">
        <v>-13</v>
      </c>
      <c r="F3" s="476"/>
      <c r="G3" s="477"/>
      <c r="H3" s="194"/>
      <c r="I3" s="481"/>
      <c r="J3" s="206" t="s">
        <v>274</v>
      </c>
      <c r="K3" s="483"/>
      <c r="L3" s="207" t="s">
        <v>275</v>
      </c>
      <c r="M3" s="208" t="s">
        <v>276</v>
      </c>
      <c r="N3" s="206" t="s">
        <v>277</v>
      </c>
      <c r="O3" s="485"/>
      <c r="P3" t="s">
        <v>270</v>
      </c>
    </row>
    <row r="4" spans="2:26" x14ac:dyDescent="0.35">
      <c r="B4" s="209">
        <f>MOD(C4,360)</f>
        <v>354</v>
      </c>
      <c r="C4" s="148">
        <f>B3+90</f>
        <v>354</v>
      </c>
      <c r="D4" s="210">
        <f t="shared" ref="D4:D6" si="0">(B4+E4)</f>
        <v>341</v>
      </c>
      <c r="E4" s="211">
        <f>E3</f>
        <v>-13</v>
      </c>
      <c r="F4" s="476"/>
      <c r="G4" s="477"/>
      <c r="H4" s="194"/>
      <c r="I4" s="212">
        <v>1</v>
      </c>
      <c r="J4" s="202">
        <v>6</v>
      </c>
      <c r="K4" s="382">
        <v>0.25</v>
      </c>
      <c r="L4" s="383" t="s">
        <v>171</v>
      </c>
      <c r="M4" s="384">
        <f>IF(L4="NM", (K4/J4), (IF(L4="Meters", ((K4/J4)/1852), (""))))</f>
        <v>4.1666666666666664E-2</v>
      </c>
      <c r="N4" s="385">
        <f>(M4/24)</f>
        <v>1.736111111111111E-3</v>
      </c>
      <c r="O4" s="386">
        <v>115</v>
      </c>
      <c r="Z4" s="213" t="s">
        <v>279</v>
      </c>
    </row>
    <row r="5" spans="2:26" ht="15" customHeight="1" x14ac:dyDescent="0.35">
      <c r="B5" s="209">
        <f>MOD(C5,360)</f>
        <v>84</v>
      </c>
      <c r="C5" s="148">
        <f t="shared" ref="C5:C6" si="1">B4+90</f>
        <v>444</v>
      </c>
      <c r="D5" s="210">
        <f t="shared" si="0"/>
        <v>71</v>
      </c>
      <c r="E5" s="211">
        <f t="shared" ref="E5:E22" si="2">E4</f>
        <v>-13</v>
      </c>
      <c r="F5" s="476"/>
      <c r="G5" s="477"/>
      <c r="H5" s="194"/>
      <c r="I5" s="214">
        <v>2</v>
      </c>
      <c r="J5" s="209">
        <f>IF(J4&gt;0, (J4), (""))</f>
        <v>6</v>
      </c>
      <c r="K5" s="215">
        <f>IF(K$4&gt;0, (K$4), (""))</f>
        <v>0.25</v>
      </c>
      <c r="L5" s="148" t="str">
        <f>IF(L4&gt;0, (L4), (""))</f>
        <v>NM</v>
      </c>
      <c r="M5" s="216">
        <f t="shared" ref="M5:M21" si="3">IF(L5="NM", (K5/J5), (IF(L5="Meters", ((K5/J5)/1852), (""))))</f>
        <v>4.1666666666666664E-2</v>
      </c>
      <c r="N5" s="217">
        <f t="shared" ref="N5:N21" si="4">(M5/24)</f>
        <v>1.736111111111111E-3</v>
      </c>
      <c r="O5" s="211">
        <f>(MOD(P5,360))</f>
        <v>205</v>
      </c>
      <c r="P5">
        <f>(O4+90)</f>
        <v>205</v>
      </c>
      <c r="Z5" s="218" t="s">
        <v>278</v>
      </c>
    </row>
    <row r="6" spans="2:26" ht="15" thickBot="1" x14ac:dyDescent="0.4">
      <c r="B6" s="209">
        <f>MOD(C6,360)</f>
        <v>174</v>
      </c>
      <c r="C6" s="148">
        <f t="shared" si="1"/>
        <v>174</v>
      </c>
      <c r="D6" s="219">
        <f t="shared" si="0"/>
        <v>161</v>
      </c>
      <c r="E6" s="220">
        <f t="shared" si="2"/>
        <v>-13</v>
      </c>
      <c r="F6" s="476"/>
      <c r="G6" s="477"/>
      <c r="H6" s="194"/>
      <c r="I6" s="214">
        <v>3</v>
      </c>
      <c r="J6" s="209">
        <f t="shared" ref="J6:L21" si="5">IF(J5&gt;0, (J5), (""))</f>
        <v>6</v>
      </c>
      <c r="K6" s="215">
        <f>IF(K$4&gt;0, (K$4*2), (""))</f>
        <v>0.5</v>
      </c>
      <c r="L6" s="148" t="str">
        <f t="shared" si="5"/>
        <v>NM</v>
      </c>
      <c r="M6" s="216">
        <f t="shared" si="3"/>
        <v>8.3333333333333329E-2</v>
      </c>
      <c r="N6" s="217">
        <f t="shared" si="4"/>
        <v>3.472222222222222E-3</v>
      </c>
      <c r="O6" s="211">
        <f t="shared" ref="O6:O21" si="6">(MOD(P6,360))</f>
        <v>295</v>
      </c>
      <c r="P6">
        <f t="shared" ref="P6:P21" si="7">(O5+90)</f>
        <v>295</v>
      </c>
      <c r="Z6" s="221" t="s">
        <v>171</v>
      </c>
    </row>
    <row r="7" spans="2:26" ht="15" thickBot="1" x14ac:dyDescent="0.4">
      <c r="B7" s="222">
        <v>360</v>
      </c>
      <c r="C7" s="223"/>
      <c r="D7" s="224">
        <f>(B7+E7)</f>
        <v>347</v>
      </c>
      <c r="E7" s="225">
        <f t="shared" si="2"/>
        <v>-13</v>
      </c>
      <c r="F7" s="476"/>
      <c r="G7" s="477"/>
      <c r="H7" s="194"/>
      <c r="I7" s="226">
        <v>4</v>
      </c>
      <c r="J7" s="227">
        <f t="shared" si="5"/>
        <v>6</v>
      </c>
      <c r="K7" s="228">
        <f>IF(K$4&gt;0, (K$4*2), (""))</f>
        <v>0.5</v>
      </c>
      <c r="L7" s="229" t="str">
        <f t="shared" si="5"/>
        <v>NM</v>
      </c>
      <c r="M7" s="230">
        <f t="shared" si="3"/>
        <v>8.3333333333333329E-2</v>
      </c>
      <c r="N7" s="231">
        <f t="shared" si="4"/>
        <v>3.472222222222222E-3</v>
      </c>
      <c r="O7" s="220">
        <f t="shared" si="6"/>
        <v>25</v>
      </c>
      <c r="P7">
        <f t="shared" si="7"/>
        <v>385</v>
      </c>
    </row>
    <row r="8" spans="2:26" x14ac:dyDescent="0.35">
      <c r="B8" s="209">
        <f>MOD(C8,360)</f>
        <v>90</v>
      </c>
      <c r="C8" s="148">
        <f>B7+90</f>
        <v>450</v>
      </c>
      <c r="D8" s="210">
        <f t="shared" ref="D8:D10" si="8">(B8+E8)</f>
        <v>77</v>
      </c>
      <c r="E8" s="211">
        <f t="shared" si="2"/>
        <v>-13</v>
      </c>
      <c r="F8" s="476"/>
      <c r="G8" s="477"/>
      <c r="H8" s="194"/>
      <c r="I8" s="232">
        <v>5</v>
      </c>
      <c r="J8" s="233">
        <f t="shared" si="5"/>
        <v>6</v>
      </c>
      <c r="K8" s="234">
        <f>IF(K$4&gt;0, (K$4*3), (""))</f>
        <v>0.75</v>
      </c>
      <c r="L8" s="235" t="str">
        <f t="shared" si="5"/>
        <v>NM</v>
      </c>
      <c r="M8" s="236">
        <f t="shared" si="3"/>
        <v>0.125</v>
      </c>
      <c r="N8" s="237">
        <f t="shared" si="4"/>
        <v>5.208333333333333E-3</v>
      </c>
      <c r="O8" s="238">
        <f t="shared" si="6"/>
        <v>115</v>
      </c>
      <c r="P8">
        <f t="shared" si="7"/>
        <v>115</v>
      </c>
    </row>
    <row r="9" spans="2:26" x14ac:dyDescent="0.35">
      <c r="B9" s="209">
        <f>MOD(C9,360)</f>
        <v>180</v>
      </c>
      <c r="C9" s="148">
        <f t="shared" ref="C9:C10" si="9">B8+90</f>
        <v>180</v>
      </c>
      <c r="D9" s="210">
        <f t="shared" si="8"/>
        <v>167</v>
      </c>
      <c r="E9" s="211">
        <f t="shared" si="2"/>
        <v>-13</v>
      </c>
      <c r="F9" s="476"/>
      <c r="G9" s="477"/>
      <c r="H9" s="194"/>
      <c r="I9" s="214">
        <v>6</v>
      </c>
      <c r="J9" s="209">
        <f t="shared" si="5"/>
        <v>6</v>
      </c>
      <c r="K9" s="215">
        <f>IF(K$4&gt;0, (K$4*3), (""))</f>
        <v>0.75</v>
      </c>
      <c r="L9" s="148" t="str">
        <f t="shared" si="5"/>
        <v>NM</v>
      </c>
      <c r="M9" s="216">
        <f t="shared" si="3"/>
        <v>0.125</v>
      </c>
      <c r="N9" s="217">
        <f t="shared" si="4"/>
        <v>5.208333333333333E-3</v>
      </c>
      <c r="O9" s="211">
        <f t="shared" si="6"/>
        <v>205</v>
      </c>
      <c r="P9">
        <f t="shared" si="7"/>
        <v>205</v>
      </c>
    </row>
    <row r="10" spans="2:26" ht="15" thickBot="1" x14ac:dyDescent="0.4">
      <c r="B10" s="209">
        <f>MOD(C10,360)</f>
        <v>270</v>
      </c>
      <c r="C10" s="148">
        <f t="shared" si="9"/>
        <v>270</v>
      </c>
      <c r="D10" s="219">
        <f t="shared" si="8"/>
        <v>257</v>
      </c>
      <c r="E10" s="220">
        <f t="shared" si="2"/>
        <v>-13</v>
      </c>
      <c r="F10" s="476"/>
      <c r="G10" s="477"/>
      <c r="H10" s="194"/>
      <c r="I10" s="214">
        <v>7</v>
      </c>
      <c r="J10" s="209">
        <f t="shared" si="5"/>
        <v>6</v>
      </c>
      <c r="K10" s="215">
        <f>IF(K$4&gt;0, (K$4*4), (""))</f>
        <v>1</v>
      </c>
      <c r="L10" s="148" t="str">
        <f t="shared" si="5"/>
        <v>NM</v>
      </c>
      <c r="M10" s="216">
        <f t="shared" si="3"/>
        <v>0.16666666666666666</v>
      </c>
      <c r="N10" s="217">
        <f t="shared" si="4"/>
        <v>6.9444444444444441E-3</v>
      </c>
      <c r="O10" s="211">
        <f t="shared" si="6"/>
        <v>295</v>
      </c>
      <c r="P10">
        <f t="shared" si="7"/>
        <v>295</v>
      </c>
    </row>
    <row r="11" spans="2:26" ht="15" thickBot="1" x14ac:dyDescent="0.4">
      <c r="B11" s="202">
        <v>45</v>
      </c>
      <c r="C11" s="203"/>
      <c r="D11" s="204">
        <f>(B11+E11)</f>
        <v>32</v>
      </c>
      <c r="E11" s="239">
        <f t="shared" si="2"/>
        <v>-13</v>
      </c>
      <c r="F11" s="476"/>
      <c r="G11" s="477"/>
      <c r="H11" s="194"/>
      <c r="I11" s="240">
        <v>8</v>
      </c>
      <c r="J11" s="241">
        <f t="shared" si="5"/>
        <v>6</v>
      </c>
      <c r="K11" s="242">
        <f>IF(K$4&gt;0, (K$4*4), (""))</f>
        <v>1</v>
      </c>
      <c r="L11" s="243" t="str">
        <f t="shared" si="5"/>
        <v>NM</v>
      </c>
      <c r="M11" s="244">
        <f t="shared" si="3"/>
        <v>0.16666666666666666</v>
      </c>
      <c r="N11" s="245">
        <f t="shared" si="4"/>
        <v>6.9444444444444441E-3</v>
      </c>
      <c r="O11" s="246">
        <f t="shared" si="6"/>
        <v>25</v>
      </c>
      <c r="P11">
        <f t="shared" si="7"/>
        <v>385</v>
      </c>
    </row>
    <row r="12" spans="2:26" x14ac:dyDescent="0.35">
      <c r="B12" s="209">
        <f>MOD(C12,360)</f>
        <v>135</v>
      </c>
      <c r="C12" s="148">
        <f>B11+90</f>
        <v>135</v>
      </c>
      <c r="D12" s="210">
        <f t="shared" ref="D12:D14" si="10">(B12+E12)</f>
        <v>122</v>
      </c>
      <c r="E12" s="211">
        <f t="shared" si="2"/>
        <v>-13</v>
      </c>
      <c r="F12" s="476"/>
      <c r="G12" s="477"/>
      <c r="H12" s="194"/>
      <c r="I12" s="212">
        <v>9</v>
      </c>
      <c r="J12" s="247">
        <f t="shared" si="5"/>
        <v>6</v>
      </c>
      <c r="K12" s="248">
        <f>IF(K$4&gt;0, (K$4*5), (""))</f>
        <v>1.25</v>
      </c>
      <c r="L12" s="249" t="str">
        <f t="shared" si="5"/>
        <v>NM</v>
      </c>
      <c r="M12" s="193">
        <f t="shared" si="3"/>
        <v>0.20833333333333334</v>
      </c>
      <c r="N12" s="250">
        <f t="shared" si="4"/>
        <v>8.6805555555555559E-3</v>
      </c>
      <c r="O12" s="251">
        <f t="shared" si="6"/>
        <v>115</v>
      </c>
      <c r="P12">
        <f t="shared" si="7"/>
        <v>115</v>
      </c>
    </row>
    <row r="13" spans="2:26" x14ac:dyDescent="0.35">
      <c r="B13" s="209">
        <f>MOD(C13,360)</f>
        <v>225</v>
      </c>
      <c r="C13" s="148">
        <f t="shared" ref="C13:C14" si="11">B12+90</f>
        <v>225</v>
      </c>
      <c r="D13" s="210">
        <f t="shared" si="10"/>
        <v>212</v>
      </c>
      <c r="E13" s="211">
        <f t="shared" si="2"/>
        <v>-13</v>
      </c>
      <c r="F13" s="476"/>
      <c r="G13" s="477"/>
      <c r="H13" s="194"/>
      <c r="I13" s="214">
        <v>10</v>
      </c>
      <c r="J13" s="209">
        <f t="shared" si="5"/>
        <v>6</v>
      </c>
      <c r="K13" s="215">
        <f>IF(K$4&gt;0, (K$4*5), (""))</f>
        <v>1.25</v>
      </c>
      <c r="L13" s="148" t="str">
        <f t="shared" si="5"/>
        <v>NM</v>
      </c>
      <c r="M13" s="216">
        <f t="shared" si="3"/>
        <v>0.20833333333333334</v>
      </c>
      <c r="N13" s="217">
        <f t="shared" si="4"/>
        <v>8.6805555555555559E-3</v>
      </c>
      <c r="O13" s="211">
        <f t="shared" si="6"/>
        <v>205</v>
      </c>
      <c r="P13">
        <f t="shared" si="7"/>
        <v>205</v>
      </c>
    </row>
    <row r="14" spans="2:26" ht="15" thickBot="1" x14ac:dyDescent="0.4">
      <c r="B14" s="209">
        <f>MOD(C14,360)</f>
        <v>315</v>
      </c>
      <c r="C14" s="148">
        <f t="shared" si="11"/>
        <v>315</v>
      </c>
      <c r="D14" s="219">
        <f t="shared" si="10"/>
        <v>302</v>
      </c>
      <c r="E14" s="220">
        <f t="shared" si="2"/>
        <v>-13</v>
      </c>
      <c r="F14" s="478"/>
      <c r="G14" s="479"/>
      <c r="H14" s="194"/>
      <c r="I14" s="214">
        <v>11</v>
      </c>
      <c r="J14" s="209">
        <f t="shared" si="5"/>
        <v>6</v>
      </c>
      <c r="K14" s="215">
        <f>IF(K$4&gt;0, (K$4*6), (""))</f>
        <v>1.5</v>
      </c>
      <c r="L14" s="148" t="str">
        <f t="shared" si="5"/>
        <v>NM</v>
      </c>
      <c r="M14" s="216">
        <f t="shared" si="3"/>
        <v>0.25</v>
      </c>
      <c r="N14" s="217">
        <f t="shared" si="4"/>
        <v>1.0416666666666666E-2</v>
      </c>
      <c r="O14" s="211">
        <f t="shared" si="6"/>
        <v>295</v>
      </c>
      <c r="P14">
        <f t="shared" si="7"/>
        <v>295</v>
      </c>
    </row>
    <row r="15" spans="2:26" ht="15" thickBot="1" x14ac:dyDescent="0.4">
      <c r="B15" s="202">
        <v>360</v>
      </c>
      <c r="C15" s="203"/>
      <c r="D15" s="204">
        <f>(B15+E15)</f>
        <v>347</v>
      </c>
      <c r="E15" s="239">
        <f t="shared" si="2"/>
        <v>-13</v>
      </c>
      <c r="F15" s="461" t="s">
        <v>280</v>
      </c>
      <c r="G15" s="462"/>
      <c r="H15" s="194"/>
      <c r="I15" s="226">
        <v>12</v>
      </c>
      <c r="J15" s="227">
        <f t="shared" si="5"/>
        <v>6</v>
      </c>
      <c r="K15" s="228">
        <f>IF(K$4&gt;0, (K$4*6), (""))</f>
        <v>1.5</v>
      </c>
      <c r="L15" s="229" t="str">
        <f t="shared" si="5"/>
        <v>NM</v>
      </c>
      <c r="M15" s="230">
        <f t="shared" si="3"/>
        <v>0.25</v>
      </c>
      <c r="N15" s="231">
        <f t="shared" si="4"/>
        <v>1.0416666666666666E-2</v>
      </c>
      <c r="O15" s="220">
        <f t="shared" si="6"/>
        <v>25</v>
      </c>
      <c r="P15">
        <f t="shared" si="7"/>
        <v>385</v>
      </c>
    </row>
    <row r="16" spans="2:26" x14ac:dyDescent="0.35">
      <c r="B16" s="209">
        <f>MOD(C16,360)</f>
        <v>270</v>
      </c>
      <c r="C16" s="148">
        <f>B15-90</f>
        <v>270</v>
      </c>
      <c r="D16" s="210">
        <f t="shared" ref="D16:D18" si="12">(B16+E16)</f>
        <v>257</v>
      </c>
      <c r="E16" s="211">
        <f t="shared" si="2"/>
        <v>-13</v>
      </c>
      <c r="F16" s="463"/>
      <c r="G16" s="464"/>
      <c r="H16" s="194"/>
      <c r="I16" s="232">
        <v>13</v>
      </c>
      <c r="J16" s="233">
        <f t="shared" si="5"/>
        <v>6</v>
      </c>
      <c r="K16" s="234">
        <f>IF(K$4&gt;0, (K$4*7), (""))</f>
        <v>1.75</v>
      </c>
      <c r="L16" s="235" t="str">
        <f t="shared" si="5"/>
        <v>NM</v>
      </c>
      <c r="M16" s="236">
        <f t="shared" si="3"/>
        <v>0.29166666666666669</v>
      </c>
      <c r="N16" s="237">
        <f t="shared" si="4"/>
        <v>1.2152777777777778E-2</v>
      </c>
      <c r="O16" s="238">
        <f t="shared" si="6"/>
        <v>115</v>
      </c>
      <c r="P16">
        <f t="shared" si="7"/>
        <v>115</v>
      </c>
    </row>
    <row r="17" spans="1:17" x14ac:dyDescent="0.35">
      <c r="B17" s="209">
        <f>MOD(C17,360)</f>
        <v>180</v>
      </c>
      <c r="C17" s="148">
        <f>B16-90</f>
        <v>180</v>
      </c>
      <c r="D17" s="210">
        <f t="shared" si="12"/>
        <v>167</v>
      </c>
      <c r="E17" s="211">
        <f t="shared" si="2"/>
        <v>-13</v>
      </c>
      <c r="F17" s="463"/>
      <c r="G17" s="464"/>
      <c r="H17" s="194"/>
      <c r="I17" s="214">
        <v>14</v>
      </c>
      <c r="J17" s="209">
        <f t="shared" si="5"/>
        <v>6</v>
      </c>
      <c r="K17" s="215">
        <f>IF(K$4&gt;0, (K$4*7), (""))</f>
        <v>1.75</v>
      </c>
      <c r="L17" s="148" t="str">
        <f t="shared" si="5"/>
        <v>NM</v>
      </c>
      <c r="M17" s="216">
        <f t="shared" si="3"/>
        <v>0.29166666666666669</v>
      </c>
      <c r="N17" s="217">
        <f t="shared" si="4"/>
        <v>1.2152777777777778E-2</v>
      </c>
      <c r="O17" s="211">
        <f t="shared" si="6"/>
        <v>205</v>
      </c>
      <c r="P17">
        <f t="shared" si="7"/>
        <v>205</v>
      </c>
    </row>
    <row r="18" spans="1:17" ht="15" thickBot="1" x14ac:dyDescent="0.4">
      <c r="B18" s="227">
        <f>MOD(C18,360)</f>
        <v>90</v>
      </c>
      <c r="C18" s="148">
        <f>B17-90</f>
        <v>90</v>
      </c>
      <c r="D18" s="219">
        <f t="shared" si="12"/>
        <v>77</v>
      </c>
      <c r="E18" s="220">
        <f t="shared" si="2"/>
        <v>-13</v>
      </c>
      <c r="F18" s="465"/>
      <c r="G18" s="466"/>
      <c r="H18" s="194"/>
      <c r="I18" s="214">
        <v>15</v>
      </c>
      <c r="J18" s="209">
        <f t="shared" si="5"/>
        <v>6</v>
      </c>
      <c r="K18" s="215">
        <f>IF(K$4&gt;0, (K$4*8), (""))</f>
        <v>2</v>
      </c>
      <c r="L18" s="148" t="str">
        <f t="shared" si="5"/>
        <v>NM</v>
      </c>
      <c r="M18" s="216">
        <f t="shared" si="3"/>
        <v>0.33333333333333331</v>
      </c>
      <c r="N18" s="217">
        <f t="shared" si="4"/>
        <v>1.3888888888888888E-2</v>
      </c>
      <c r="O18" s="211">
        <f t="shared" si="6"/>
        <v>295</v>
      </c>
      <c r="P18">
        <f t="shared" si="7"/>
        <v>295</v>
      </c>
    </row>
    <row r="19" spans="1:17" ht="15" thickBot="1" x14ac:dyDescent="0.4">
      <c r="B19" s="202">
        <v>360</v>
      </c>
      <c r="C19" s="203"/>
      <c r="D19" s="204">
        <f>(B19+E19)</f>
        <v>347</v>
      </c>
      <c r="E19" s="239">
        <f t="shared" si="2"/>
        <v>-13</v>
      </c>
      <c r="F19" s="461" t="s">
        <v>280</v>
      </c>
      <c r="G19" s="462"/>
      <c r="H19" s="194"/>
      <c r="I19" s="240">
        <v>16</v>
      </c>
      <c r="J19" s="241">
        <f t="shared" si="5"/>
        <v>6</v>
      </c>
      <c r="K19" s="242">
        <f>IF(K$4&gt;0, (K$4*8), (""))</f>
        <v>2</v>
      </c>
      <c r="L19" s="243" t="str">
        <f t="shared" si="5"/>
        <v>NM</v>
      </c>
      <c r="M19" s="244">
        <f t="shared" si="3"/>
        <v>0.33333333333333331</v>
      </c>
      <c r="N19" s="245">
        <f t="shared" si="4"/>
        <v>1.3888888888888888E-2</v>
      </c>
      <c r="O19" s="246">
        <f t="shared" si="6"/>
        <v>25</v>
      </c>
      <c r="P19">
        <f t="shared" si="7"/>
        <v>385</v>
      </c>
    </row>
    <row r="20" spans="1:17" x14ac:dyDescent="0.35">
      <c r="B20" s="209">
        <f>MOD(C20,360)</f>
        <v>270</v>
      </c>
      <c r="C20" s="148">
        <f>B19-90</f>
        <v>270</v>
      </c>
      <c r="D20" s="210">
        <f t="shared" ref="D20:D22" si="13">(B20+E20)</f>
        <v>257</v>
      </c>
      <c r="E20" s="211">
        <f t="shared" si="2"/>
        <v>-13</v>
      </c>
      <c r="F20" s="463"/>
      <c r="G20" s="464"/>
      <c r="H20" s="194"/>
      <c r="I20" s="212">
        <v>17</v>
      </c>
      <c r="J20" s="247">
        <f t="shared" si="5"/>
        <v>6</v>
      </c>
      <c r="K20" s="248">
        <f>IF(K$4&gt;0, (K$4*9), (""))</f>
        <v>2.25</v>
      </c>
      <c r="L20" s="249" t="str">
        <f t="shared" si="5"/>
        <v>NM</v>
      </c>
      <c r="M20" s="193">
        <f t="shared" si="3"/>
        <v>0.375</v>
      </c>
      <c r="N20" s="250">
        <f t="shared" si="4"/>
        <v>1.5625E-2</v>
      </c>
      <c r="O20" s="251">
        <f t="shared" si="6"/>
        <v>115</v>
      </c>
      <c r="P20">
        <f t="shared" si="7"/>
        <v>115</v>
      </c>
    </row>
    <row r="21" spans="1:17" ht="15" thickBot="1" x14ac:dyDescent="0.4">
      <c r="B21" s="209">
        <f>MOD(C21,360)</f>
        <v>180</v>
      </c>
      <c r="C21" s="148">
        <f>B20-90</f>
        <v>180</v>
      </c>
      <c r="D21" s="210">
        <f t="shared" si="13"/>
        <v>167</v>
      </c>
      <c r="E21" s="211">
        <f t="shared" si="2"/>
        <v>-13</v>
      </c>
      <c r="F21" s="463"/>
      <c r="G21" s="464"/>
      <c r="H21" s="194"/>
      <c r="I21" s="226">
        <v>18</v>
      </c>
      <c r="J21" s="227">
        <f t="shared" si="5"/>
        <v>6</v>
      </c>
      <c r="K21" s="228">
        <f>IF(K$4&gt;0, (K$4*9), (""))</f>
        <v>2.25</v>
      </c>
      <c r="L21" s="229" t="str">
        <f t="shared" si="5"/>
        <v>NM</v>
      </c>
      <c r="M21" s="230">
        <f t="shared" si="3"/>
        <v>0.375</v>
      </c>
      <c r="N21" s="231">
        <f t="shared" si="4"/>
        <v>1.5625E-2</v>
      </c>
      <c r="O21" s="220">
        <f t="shared" si="6"/>
        <v>205</v>
      </c>
      <c r="P21">
        <f t="shared" si="7"/>
        <v>205</v>
      </c>
    </row>
    <row r="22" spans="1:17" ht="15" thickBot="1" x14ac:dyDescent="0.4">
      <c r="B22" s="227">
        <f>MOD(C22,360)</f>
        <v>90</v>
      </c>
      <c r="C22" s="148">
        <f>B21-90</f>
        <v>90</v>
      </c>
      <c r="D22" s="219">
        <f t="shared" si="13"/>
        <v>77</v>
      </c>
      <c r="E22" s="220">
        <f t="shared" si="2"/>
        <v>-13</v>
      </c>
      <c r="F22" s="465"/>
      <c r="G22" s="466"/>
      <c r="H22" s="194"/>
      <c r="I22" s="252" t="s">
        <v>281</v>
      </c>
      <c r="J22" s="467">
        <f>SUM(K4:K21)</f>
        <v>22.5</v>
      </c>
      <c r="K22" s="467"/>
      <c r="L22" s="253" t="str">
        <f t="shared" ref="L22" si="14">IF(L21&gt;0, (L21), (""))</f>
        <v>NM</v>
      </c>
      <c r="M22" s="254">
        <f>SUM(M4:M21)</f>
        <v>3.75</v>
      </c>
      <c r="N22" s="255">
        <f>SUM(N4:N21)</f>
        <v>0.15625</v>
      </c>
      <c r="O22" s="256" t="s">
        <v>282</v>
      </c>
      <c r="P22" s="62"/>
      <c r="Q22" s="62"/>
    </row>
    <row r="23" spans="1:17" s="260" customFormat="1" ht="4" thickBot="1" x14ac:dyDescent="0.2">
      <c r="A23" s="257"/>
      <c r="B23" s="258"/>
      <c r="C23" s="258"/>
      <c r="D23" s="258"/>
      <c r="E23" s="258"/>
      <c r="F23" s="258"/>
      <c r="G23" s="258"/>
      <c r="H23" s="257"/>
      <c r="I23" s="258"/>
      <c r="J23" s="258"/>
      <c r="K23" s="258"/>
      <c r="L23" s="258"/>
      <c r="M23" s="258"/>
      <c r="N23" s="258"/>
      <c r="O23" s="258"/>
      <c r="P23" s="259"/>
      <c r="Q23" s="259"/>
    </row>
    <row r="24" spans="1:17" x14ac:dyDescent="0.35">
      <c r="B24" s="261" t="s">
        <v>283</v>
      </c>
      <c r="C24" s="262"/>
      <c r="D24" s="263" t="s">
        <v>40</v>
      </c>
      <c r="E24" s="454" t="s">
        <v>25</v>
      </c>
      <c r="F24" s="454"/>
      <c r="G24" s="455"/>
      <c r="H24" s="194"/>
      <c r="I24" s="194"/>
      <c r="J24" s="264">
        <v>50</v>
      </c>
      <c r="K24" s="265" t="s">
        <v>284</v>
      </c>
      <c r="L24" s="458" t="s">
        <v>25</v>
      </c>
      <c r="M24" s="459"/>
      <c r="N24" s="459"/>
      <c r="O24" s="460"/>
    </row>
    <row r="25" spans="1:17" ht="15" thickBot="1" x14ac:dyDescent="0.4">
      <c r="B25" s="266" t="s">
        <v>285</v>
      </c>
      <c r="C25" s="267"/>
      <c r="D25" s="268" t="s">
        <v>286</v>
      </c>
      <c r="E25" s="66" t="s">
        <v>132</v>
      </c>
      <c r="F25" s="67" t="s">
        <v>133</v>
      </c>
      <c r="G25" s="68" t="s">
        <v>134</v>
      </c>
      <c r="H25" s="194"/>
      <c r="I25" s="194"/>
      <c r="J25" s="64" t="s">
        <v>131</v>
      </c>
      <c r="K25" s="269" t="s">
        <v>287</v>
      </c>
      <c r="L25" s="66" t="s">
        <v>132</v>
      </c>
      <c r="M25" s="66"/>
      <c r="N25" s="67" t="s">
        <v>133</v>
      </c>
      <c r="O25" s="270" t="s">
        <v>288</v>
      </c>
    </row>
    <row r="26" spans="1:17" x14ac:dyDescent="0.35">
      <c r="A26" s="194" t="e">
        <f>#REF!/#REF!</f>
        <v>#REF!</v>
      </c>
      <c r="B26" s="70">
        <v>2</v>
      </c>
      <c r="C26" s="271"/>
      <c r="D26" s="112">
        <v>1.2</v>
      </c>
      <c r="E26" s="71">
        <f t="shared" ref="E26:E52" si="15">(D26/B26)</f>
        <v>0.6</v>
      </c>
      <c r="F26" s="272">
        <f t="shared" ref="F26:F53" si="16">(E26*60)</f>
        <v>36</v>
      </c>
      <c r="G26" s="72">
        <f t="shared" ref="G26:G53" si="17">(F26/1440)</f>
        <v>2.5000000000000001E-2</v>
      </c>
      <c r="H26" s="194"/>
      <c r="I26" s="194"/>
      <c r="J26" s="70">
        <v>4</v>
      </c>
      <c r="K26" s="273">
        <f>((J24/1852))</f>
        <v>2.6997840172786176E-2</v>
      </c>
      <c r="L26" s="71">
        <f>(K26/J26)</f>
        <v>6.7494600431965441E-3</v>
      </c>
      <c r="M26" s="71"/>
      <c r="N26" s="272">
        <f>(L26*60)</f>
        <v>0.40496760259179265</v>
      </c>
      <c r="O26" s="72">
        <f t="shared" ref="O26:O29" si="18">(N26/1440)</f>
        <v>2.81227501799856E-4</v>
      </c>
    </row>
    <row r="27" spans="1:17" x14ac:dyDescent="0.35">
      <c r="B27" s="73">
        <v>3</v>
      </c>
      <c r="C27" s="152"/>
      <c r="D27" s="74">
        <f>(D26)</f>
        <v>1.2</v>
      </c>
      <c r="E27" s="75">
        <f t="shared" si="15"/>
        <v>0.39999999999999997</v>
      </c>
      <c r="F27" s="69">
        <f t="shared" si="16"/>
        <v>23.999999999999996</v>
      </c>
      <c r="G27" s="76">
        <f t="shared" si="17"/>
        <v>1.6666666666666663E-2</v>
      </c>
      <c r="H27" s="194"/>
      <c r="I27" s="194"/>
      <c r="J27" s="73">
        <v>6</v>
      </c>
      <c r="K27" s="74">
        <f>(K26)</f>
        <v>2.6997840172786176E-2</v>
      </c>
      <c r="L27" s="75">
        <f>(K27/J27)</f>
        <v>4.4996400287976961E-3</v>
      </c>
      <c r="M27" s="75"/>
      <c r="N27" s="69">
        <f>(L27*60)</f>
        <v>0.26997840172786175</v>
      </c>
      <c r="O27" s="76">
        <f t="shared" si="18"/>
        <v>1.8748500119990398E-4</v>
      </c>
    </row>
    <row r="28" spans="1:17" x14ac:dyDescent="0.35">
      <c r="B28" s="73">
        <v>4</v>
      </c>
      <c r="C28" s="152"/>
      <c r="D28" s="74">
        <f t="shared" ref="D28:D52" si="19">(D27)</f>
        <v>1.2</v>
      </c>
      <c r="E28" s="75">
        <f t="shared" si="15"/>
        <v>0.3</v>
      </c>
      <c r="F28" s="69">
        <f t="shared" si="16"/>
        <v>18</v>
      </c>
      <c r="G28" s="76">
        <f t="shared" si="17"/>
        <v>1.2500000000000001E-2</v>
      </c>
      <c r="H28" s="194"/>
      <c r="I28" s="194"/>
      <c r="J28" s="73">
        <v>8</v>
      </c>
      <c r="K28" s="74">
        <f t="shared" ref="K28:K29" si="20">(K27)</f>
        <v>2.6997840172786176E-2</v>
      </c>
      <c r="L28" s="75">
        <f>(K28/J28)</f>
        <v>3.374730021598272E-3</v>
      </c>
      <c r="M28" s="75"/>
      <c r="N28" s="69">
        <f>(L28*60)</f>
        <v>0.20248380129589633</v>
      </c>
      <c r="O28" s="76">
        <f t="shared" si="18"/>
        <v>1.40613750899928E-4</v>
      </c>
    </row>
    <row r="29" spans="1:17" ht="15" thickBot="1" x14ac:dyDescent="0.4">
      <c r="B29" s="73">
        <v>5</v>
      </c>
      <c r="C29" s="152"/>
      <c r="D29" s="74">
        <f t="shared" si="19"/>
        <v>1.2</v>
      </c>
      <c r="E29" s="75">
        <f t="shared" si="15"/>
        <v>0.24</v>
      </c>
      <c r="F29" s="69">
        <f t="shared" si="16"/>
        <v>14.399999999999999</v>
      </c>
      <c r="G29" s="76">
        <f t="shared" si="17"/>
        <v>9.9999999999999985E-3</v>
      </c>
      <c r="H29" s="194"/>
      <c r="I29" s="194"/>
      <c r="J29" s="64">
        <v>10</v>
      </c>
      <c r="K29" s="65">
        <f t="shared" si="20"/>
        <v>2.6997840172786176E-2</v>
      </c>
      <c r="L29" s="66">
        <f>(K29/J29)</f>
        <v>2.6997840172786176E-3</v>
      </c>
      <c r="M29" s="66"/>
      <c r="N29" s="67">
        <f>(L29*60)</f>
        <v>0.16198704103671704</v>
      </c>
      <c r="O29" s="77">
        <f t="shared" si="18"/>
        <v>1.1249100071994239E-4</v>
      </c>
    </row>
    <row r="30" spans="1:17" ht="15" thickBot="1" x14ac:dyDescent="0.4">
      <c r="B30" s="73">
        <v>6</v>
      </c>
      <c r="C30" s="152"/>
      <c r="D30" s="74">
        <f t="shared" si="19"/>
        <v>1.2</v>
      </c>
      <c r="E30" s="75">
        <f t="shared" si="15"/>
        <v>0.19999999999999998</v>
      </c>
      <c r="F30" s="69">
        <f t="shared" si="16"/>
        <v>11.999999999999998</v>
      </c>
      <c r="G30" s="76">
        <f t="shared" si="17"/>
        <v>8.3333333333333315E-3</v>
      </c>
      <c r="H30" s="194"/>
      <c r="I30" s="194"/>
      <c r="J30" s="194"/>
      <c r="K30" s="194"/>
      <c r="L30" s="194"/>
      <c r="M30" s="194"/>
      <c r="N30" s="194"/>
      <c r="O30" s="194"/>
    </row>
    <row r="31" spans="1:17" x14ac:dyDescent="0.35">
      <c r="B31" s="111">
        <v>7</v>
      </c>
      <c r="C31" s="274"/>
      <c r="D31" s="74">
        <f t="shared" si="19"/>
        <v>1.2</v>
      </c>
      <c r="E31" s="75">
        <f t="shared" si="15"/>
        <v>0.17142857142857143</v>
      </c>
      <c r="F31" s="69">
        <f t="shared" si="16"/>
        <v>10.285714285714286</v>
      </c>
      <c r="G31" s="76">
        <f t="shared" si="17"/>
        <v>7.1428571428571435E-3</v>
      </c>
      <c r="H31" s="194"/>
      <c r="I31" s="194"/>
      <c r="J31" s="264">
        <v>1852</v>
      </c>
      <c r="K31" s="265" t="s">
        <v>284</v>
      </c>
      <c r="L31" s="458" t="s">
        <v>25</v>
      </c>
      <c r="M31" s="459"/>
      <c r="N31" s="459"/>
      <c r="O31" s="460"/>
    </row>
    <row r="32" spans="1:17" ht="15" thickBot="1" x14ac:dyDescent="0.4">
      <c r="B32" s="111">
        <v>8</v>
      </c>
      <c r="C32" s="274"/>
      <c r="D32" s="74">
        <f t="shared" si="19"/>
        <v>1.2</v>
      </c>
      <c r="E32" s="75">
        <f t="shared" si="15"/>
        <v>0.15</v>
      </c>
      <c r="F32" s="69">
        <f t="shared" si="16"/>
        <v>9</v>
      </c>
      <c r="G32" s="76">
        <f t="shared" si="17"/>
        <v>6.2500000000000003E-3</v>
      </c>
      <c r="H32" s="194"/>
      <c r="I32" s="194"/>
      <c r="J32" s="64" t="s">
        <v>131</v>
      </c>
      <c r="K32" s="269" t="s">
        <v>287</v>
      </c>
      <c r="L32" s="66" t="s">
        <v>132</v>
      </c>
      <c r="M32" s="66"/>
      <c r="N32" s="67" t="s">
        <v>133</v>
      </c>
      <c r="O32" s="270" t="s">
        <v>288</v>
      </c>
    </row>
    <row r="33" spans="1:15" x14ac:dyDescent="0.35">
      <c r="B33" s="111">
        <v>9</v>
      </c>
      <c r="C33" s="274"/>
      <c r="D33" s="74">
        <f t="shared" si="19"/>
        <v>1.2</v>
      </c>
      <c r="E33" s="75">
        <f t="shared" si="15"/>
        <v>0.13333333333333333</v>
      </c>
      <c r="F33" s="69">
        <f t="shared" si="16"/>
        <v>8</v>
      </c>
      <c r="G33" s="76">
        <f t="shared" si="17"/>
        <v>5.5555555555555558E-3</v>
      </c>
      <c r="H33" s="194"/>
      <c r="I33" s="194"/>
      <c r="J33" s="70">
        <v>4</v>
      </c>
      <c r="K33" s="273">
        <f>((J31/1852))</f>
        <v>1</v>
      </c>
      <c r="L33" s="71">
        <f>(K33/J33)</f>
        <v>0.25</v>
      </c>
      <c r="M33" s="71"/>
      <c r="N33" s="272">
        <f>(L33*60)</f>
        <v>15</v>
      </c>
      <c r="O33" s="72">
        <f t="shared" ref="O33:O36" si="21">(N33/1440)</f>
        <v>1.0416666666666666E-2</v>
      </c>
    </row>
    <row r="34" spans="1:15" x14ac:dyDescent="0.35">
      <c r="B34" s="111">
        <v>10</v>
      </c>
      <c r="C34" s="274"/>
      <c r="D34" s="74">
        <f t="shared" si="19"/>
        <v>1.2</v>
      </c>
      <c r="E34" s="75">
        <f t="shared" si="15"/>
        <v>0.12</v>
      </c>
      <c r="F34" s="69">
        <f t="shared" si="16"/>
        <v>7.1999999999999993</v>
      </c>
      <c r="G34" s="76">
        <f t="shared" si="17"/>
        <v>4.9999999999999992E-3</v>
      </c>
      <c r="H34" s="194"/>
      <c r="I34" s="194"/>
      <c r="J34" s="73">
        <v>6</v>
      </c>
      <c r="K34" s="74">
        <f>(K33)</f>
        <v>1</v>
      </c>
      <c r="L34" s="75">
        <f>(K34/J34)</f>
        <v>0.16666666666666666</v>
      </c>
      <c r="M34" s="75"/>
      <c r="N34" s="69">
        <f>(L34*60)</f>
        <v>10</v>
      </c>
      <c r="O34" s="76">
        <f t="shared" si="21"/>
        <v>6.9444444444444441E-3</v>
      </c>
    </row>
    <row r="35" spans="1:15" x14ac:dyDescent="0.35">
      <c r="B35" s="111">
        <v>11</v>
      </c>
      <c r="C35" s="274"/>
      <c r="D35" s="74">
        <f t="shared" si="19"/>
        <v>1.2</v>
      </c>
      <c r="E35" s="75">
        <f t="shared" si="15"/>
        <v>0.10909090909090909</v>
      </c>
      <c r="F35" s="69">
        <f t="shared" si="16"/>
        <v>6.545454545454545</v>
      </c>
      <c r="G35" s="76">
        <f t="shared" si="17"/>
        <v>4.5454545454545452E-3</v>
      </c>
      <c r="H35" s="194"/>
      <c r="I35" s="194"/>
      <c r="J35" s="73">
        <v>8</v>
      </c>
      <c r="K35" s="74">
        <f t="shared" ref="K35:K36" si="22">(K34)</f>
        <v>1</v>
      </c>
      <c r="L35" s="75">
        <f>(K35/J35)</f>
        <v>0.125</v>
      </c>
      <c r="M35" s="75"/>
      <c r="N35" s="69">
        <f>(L35*60)</f>
        <v>7.5</v>
      </c>
      <c r="O35" s="76">
        <f t="shared" si="21"/>
        <v>5.208333333333333E-3</v>
      </c>
    </row>
    <row r="36" spans="1:15" ht="15" thickBot="1" x14ac:dyDescent="0.4">
      <c r="B36" s="111">
        <v>12</v>
      </c>
      <c r="C36" s="274"/>
      <c r="D36" s="74">
        <f t="shared" si="19"/>
        <v>1.2</v>
      </c>
      <c r="E36" s="75">
        <f t="shared" si="15"/>
        <v>9.9999999999999992E-2</v>
      </c>
      <c r="F36" s="69">
        <f t="shared" si="16"/>
        <v>5.9999999999999991</v>
      </c>
      <c r="G36" s="76">
        <f t="shared" si="17"/>
        <v>4.1666666666666657E-3</v>
      </c>
      <c r="H36" s="194"/>
      <c r="I36" s="194"/>
      <c r="J36" s="64">
        <v>10</v>
      </c>
      <c r="K36" s="65">
        <f t="shared" si="22"/>
        <v>1</v>
      </c>
      <c r="L36" s="66">
        <f>(K36/J36)</f>
        <v>0.1</v>
      </c>
      <c r="M36" s="66"/>
      <c r="N36" s="67">
        <f>(L36*60)</f>
        <v>6</v>
      </c>
      <c r="O36" s="77">
        <f t="shared" si="21"/>
        <v>4.1666666666666666E-3</v>
      </c>
    </row>
    <row r="37" spans="1:15" ht="15" thickBot="1" x14ac:dyDescent="0.4">
      <c r="B37" s="111">
        <v>13</v>
      </c>
      <c r="C37" s="274"/>
      <c r="D37" s="74">
        <f t="shared" si="19"/>
        <v>1.2</v>
      </c>
      <c r="E37" s="75">
        <f t="shared" si="15"/>
        <v>9.2307692307692299E-2</v>
      </c>
      <c r="F37" s="69">
        <f t="shared" si="16"/>
        <v>5.5384615384615383</v>
      </c>
      <c r="G37" s="76">
        <f t="shared" si="17"/>
        <v>3.8461538461538459E-3</v>
      </c>
      <c r="H37" s="194"/>
      <c r="I37" s="194"/>
      <c r="J37" s="194"/>
      <c r="K37" s="194"/>
      <c r="L37" s="194"/>
      <c r="M37" s="194"/>
      <c r="N37" s="194"/>
      <c r="O37" s="194"/>
    </row>
    <row r="38" spans="1:15" x14ac:dyDescent="0.35">
      <c r="B38" s="111">
        <v>14</v>
      </c>
      <c r="C38" s="274"/>
      <c r="D38" s="74">
        <f t="shared" si="19"/>
        <v>1.2</v>
      </c>
      <c r="E38" s="75">
        <f t="shared" si="15"/>
        <v>8.5714285714285715E-2</v>
      </c>
      <c r="F38" s="69">
        <f t="shared" si="16"/>
        <v>5.1428571428571432</v>
      </c>
      <c r="G38" s="76">
        <f t="shared" si="17"/>
        <v>3.5714285714285718E-3</v>
      </c>
      <c r="H38" s="194"/>
      <c r="I38" s="194"/>
      <c r="J38" s="264">
        <v>0.25</v>
      </c>
      <c r="K38" s="275" t="s">
        <v>171</v>
      </c>
      <c r="L38" s="458" t="s">
        <v>25</v>
      </c>
      <c r="M38" s="459"/>
      <c r="N38" s="459"/>
      <c r="O38" s="460"/>
    </row>
    <row r="39" spans="1:15" ht="15" thickBot="1" x14ac:dyDescent="0.4">
      <c r="B39" s="111">
        <v>15</v>
      </c>
      <c r="C39" s="274"/>
      <c r="D39" s="74">
        <f t="shared" si="19"/>
        <v>1.2</v>
      </c>
      <c r="E39" s="75">
        <f t="shared" si="15"/>
        <v>0.08</v>
      </c>
      <c r="F39" s="69">
        <f t="shared" si="16"/>
        <v>4.8</v>
      </c>
      <c r="G39" s="76">
        <f t="shared" si="17"/>
        <v>3.3333333333333331E-3</v>
      </c>
      <c r="H39" s="194"/>
      <c r="I39" s="194"/>
      <c r="J39" s="64" t="s">
        <v>131</v>
      </c>
      <c r="K39" s="65" t="s">
        <v>40</v>
      </c>
      <c r="L39" s="66" t="s">
        <v>132</v>
      </c>
      <c r="M39" s="66"/>
      <c r="N39" s="67" t="s">
        <v>133</v>
      </c>
      <c r="O39" s="270" t="s">
        <v>288</v>
      </c>
    </row>
    <row r="40" spans="1:15" x14ac:dyDescent="0.35">
      <c r="B40" s="111">
        <v>16</v>
      </c>
      <c r="C40" s="274"/>
      <c r="D40" s="74">
        <f t="shared" si="19"/>
        <v>1.2</v>
      </c>
      <c r="E40" s="75">
        <f t="shared" si="15"/>
        <v>7.4999999999999997E-2</v>
      </c>
      <c r="F40" s="69">
        <f t="shared" si="16"/>
        <v>4.5</v>
      </c>
      <c r="G40" s="76">
        <f t="shared" si="17"/>
        <v>3.1250000000000002E-3</v>
      </c>
      <c r="H40" s="194"/>
      <c r="I40" s="194"/>
      <c r="J40" s="70">
        <v>4</v>
      </c>
      <c r="K40" s="273">
        <f>J38</f>
        <v>0.25</v>
      </c>
      <c r="L40" s="71">
        <f>(K40/J40)</f>
        <v>6.25E-2</v>
      </c>
      <c r="M40" s="71"/>
      <c r="N40" s="272">
        <f>(L40*60)</f>
        <v>3.75</v>
      </c>
      <c r="O40" s="72">
        <f t="shared" ref="O40:O43" si="23">(N40/1440)</f>
        <v>2.6041666666666665E-3</v>
      </c>
    </row>
    <row r="41" spans="1:15" x14ac:dyDescent="0.35">
      <c r="B41" s="111">
        <v>17</v>
      </c>
      <c r="C41" s="274"/>
      <c r="D41" s="74">
        <f t="shared" si="19"/>
        <v>1.2</v>
      </c>
      <c r="E41" s="75">
        <f t="shared" si="15"/>
        <v>7.0588235294117646E-2</v>
      </c>
      <c r="F41" s="69">
        <f t="shared" si="16"/>
        <v>4.2352941176470589</v>
      </c>
      <c r="G41" s="76">
        <f t="shared" si="17"/>
        <v>2.9411764705882353E-3</v>
      </c>
      <c r="H41" s="194"/>
      <c r="I41" s="194"/>
      <c r="J41" s="73">
        <v>6</v>
      </c>
      <c r="K41" s="74">
        <f>(K40)</f>
        <v>0.25</v>
      </c>
      <c r="L41" s="75">
        <f>(K41/J41)</f>
        <v>4.1666666666666664E-2</v>
      </c>
      <c r="M41" s="75"/>
      <c r="N41" s="69">
        <f>(L41*60)</f>
        <v>2.5</v>
      </c>
      <c r="O41" s="76">
        <f t="shared" si="23"/>
        <v>1.736111111111111E-3</v>
      </c>
    </row>
    <row r="42" spans="1:15" x14ac:dyDescent="0.35">
      <c r="B42" s="111">
        <v>18</v>
      </c>
      <c r="C42" s="274"/>
      <c r="D42" s="74">
        <f t="shared" si="19"/>
        <v>1.2</v>
      </c>
      <c r="E42" s="75">
        <f t="shared" si="15"/>
        <v>6.6666666666666666E-2</v>
      </c>
      <c r="F42" s="69">
        <f t="shared" si="16"/>
        <v>4</v>
      </c>
      <c r="G42" s="76">
        <f t="shared" si="17"/>
        <v>2.7777777777777779E-3</v>
      </c>
      <c r="H42" s="194"/>
      <c r="I42" s="194"/>
      <c r="J42" s="73">
        <v>8</v>
      </c>
      <c r="K42" s="74">
        <f t="shared" ref="K42:K43" si="24">(K41)</f>
        <v>0.25</v>
      </c>
      <c r="L42" s="75">
        <f>(K42/J42)</f>
        <v>3.125E-2</v>
      </c>
      <c r="M42" s="75"/>
      <c r="N42" s="69">
        <f>(L42*60)</f>
        <v>1.875</v>
      </c>
      <c r="O42" s="76">
        <f t="shared" si="23"/>
        <v>1.3020833333333333E-3</v>
      </c>
    </row>
    <row r="43" spans="1:15" ht="15" thickBot="1" x14ac:dyDescent="0.4">
      <c r="B43" s="111">
        <v>19</v>
      </c>
      <c r="C43" s="274"/>
      <c r="D43" s="74">
        <f t="shared" si="19"/>
        <v>1.2</v>
      </c>
      <c r="E43" s="75">
        <f t="shared" si="15"/>
        <v>6.3157894736842107E-2</v>
      </c>
      <c r="F43" s="69">
        <f t="shared" si="16"/>
        <v>3.7894736842105265</v>
      </c>
      <c r="G43" s="76">
        <f t="shared" si="17"/>
        <v>2.6315789473684214E-3</v>
      </c>
      <c r="H43" s="194"/>
      <c r="I43" s="194"/>
      <c r="J43" s="64">
        <v>10</v>
      </c>
      <c r="K43" s="65">
        <f t="shared" si="24"/>
        <v>0.25</v>
      </c>
      <c r="L43" s="66">
        <f>(K43/J43)</f>
        <v>2.5000000000000001E-2</v>
      </c>
      <c r="M43" s="66"/>
      <c r="N43" s="67">
        <f>(L43*60)</f>
        <v>1.5</v>
      </c>
      <c r="O43" s="77">
        <f t="shared" si="23"/>
        <v>1.0416666666666667E-3</v>
      </c>
    </row>
    <row r="44" spans="1:15" ht="15" thickBot="1" x14ac:dyDescent="0.4">
      <c r="B44" s="111">
        <v>20</v>
      </c>
      <c r="C44" s="274"/>
      <c r="D44" s="74">
        <f t="shared" si="19"/>
        <v>1.2</v>
      </c>
      <c r="E44" s="75">
        <f t="shared" si="15"/>
        <v>0.06</v>
      </c>
      <c r="F44" s="69">
        <f t="shared" si="16"/>
        <v>3.5999999999999996</v>
      </c>
      <c r="G44" s="76">
        <f t="shared" si="17"/>
        <v>2.4999999999999996E-3</v>
      </c>
      <c r="H44" s="194"/>
      <c r="I44" s="194"/>
      <c r="J44" s="194"/>
      <c r="K44" s="194"/>
      <c r="L44" s="194"/>
      <c r="M44" s="194"/>
      <c r="N44" s="194"/>
      <c r="O44" s="194"/>
    </row>
    <row r="45" spans="1:15" x14ac:dyDescent="0.35">
      <c r="B45" s="111">
        <v>21</v>
      </c>
      <c r="C45" s="274"/>
      <c r="D45" s="74">
        <f t="shared" si="19"/>
        <v>1.2</v>
      </c>
      <c r="E45" s="75">
        <f t="shared" si="15"/>
        <v>5.7142857142857141E-2</v>
      </c>
      <c r="F45" s="69">
        <f t="shared" si="16"/>
        <v>3.4285714285714284</v>
      </c>
      <c r="G45" s="76">
        <f t="shared" si="17"/>
        <v>2.3809523809523807E-3</v>
      </c>
      <c r="H45" s="194"/>
      <c r="I45" s="194"/>
      <c r="J45" s="264">
        <v>0.5</v>
      </c>
      <c r="K45" s="275" t="s">
        <v>171</v>
      </c>
      <c r="L45" s="458" t="s">
        <v>25</v>
      </c>
      <c r="M45" s="459"/>
      <c r="N45" s="459"/>
      <c r="O45" s="460"/>
    </row>
    <row r="46" spans="1:15" ht="15" thickBot="1" x14ac:dyDescent="0.4">
      <c r="B46" s="111">
        <v>22</v>
      </c>
      <c r="C46" s="274"/>
      <c r="D46" s="74">
        <f t="shared" si="19"/>
        <v>1.2</v>
      </c>
      <c r="E46" s="75">
        <f t="shared" si="15"/>
        <v>5.4545454545454543E-2</v>
      </c>
      <c r="F46" s="69">
        <f t="shared" si="16"/>
        <v>3.2727272727272725</v>
      </c>
      <c r="G46" s="76">
        <f t="shared" si="17"/>
        <v>2.2727272727272726E-3</v>
      </c>
      <c r="H46" s="194"/>
      <c r="I46" s="194"/>
      <c r="J46" s="64" t="s">
        <v>131</v>
      </c>
      <c r="K46" s="65" t="s">
        <v>40</v>
      </c>
      <c r="L46" s="66" t="s">
        <v>132</v>
      </c>
      <c r="M46" s="66"/>
      <c r="N46" s="67" t="s">
        <v>133</v>
      </c>
      <c r="O46" s="270" t="s">
        <v>288</v>
      </c>
    </row>
    <row r="47" spans="1:15" x14ac:dyDescent="0.35">
      <c r="A47" s="194" t="e">
        <f>#REF!/#REF!</f>
        <v>#REF!</v>
      </c>
      <c r="B47" s="111">
        <v>23</v>
      </c>
      <c r="C47" s="274"/>
      <c r="D47" s="74">
        <f t="shared" si="19"/>
        <v>1.2</v>
      </c>
      <c r="E47" s="75">
        <f t="shared" si="15"/>
        <v>5.2173913043478258E-2</v>
      </c>
      <c r="F47" s="69">
        <f t="shared" si="16"/>
        <v>3.1304347826086953</v>
      </c>
      <c r="G47" s="76">
        <f t="shared" si="17"/>
        <v>2.1739130434782605E-3</v>
      </c>
      <c r="H47" s="194"/>
      <c r="I47" s="194"/>
      <c r="J47" s="70">
        <v>4</v>
      </c>
      <c r="K47" s="273">
        <f>J45</f>
        <v>0.5</v>
      </c>
      <c r="L47" s="71">
        <f>(K47/J47)</f>
        <v>0.125</v>
      </c>
      <c r="M47" s="71"/>
      <c r="N47" s="272">
        <f>(L47*60)</f>
        <v>7.5</v>
      </c>
      <c r="O47" s="72">
        <f t="shared" ref="O47:O50" si="25">(N47/1440)</f>
        <v>5.208333333333333E-3</v>
      </c>
    </row>
    <row r="48" spans="1:15" x14ac:dyDescent="0.35">
      <c r="B48" s="111">
        <v>24</v>
      </c>
      <c r="C48" s="274"/>
      <c r="D48" s="74">
        <f t="shared" si="19"/>
        <v>1.2</v>
      </c>
      <c r="E48" s="75">
        <f t="shared" si="15"/>
        <v>4.9999999999999996E-2</v>
      </c>
      <c r="F48" s="69">
        <f t="shared" si="16"/>
        <v>2.9999999999999996</v>
      </c>
      <c r="G48" s="76">
        <f t="shared" si="17"/>
        <v>2.0833333333333329E-3</v>
      </c>
      <c r="H48" s="194"/>
      <c r="I48" s="194"/>
      <c r="J48" s="73">
        <v>6</v>
      </c>
      <c r="K48" s="74">
        <f>(K47)</f>
        <v>0.5</v>
      </c>
      <c r="L48" s="75">
        <f>(K48/J48)</f>
        <v>8.3333333333333329E-2</v>
      </c>
      <c r="M48" s="75"/>
      <c r="N48" s="69">
        <f>(L48*60)</f>
        <v>5</v>
      </c>
      <c r="O48" s="76">
        <f t="shared" si="25"/>
        <v>3.472222222222222E-3</v>
      </c>
    </row>
    <row r="49" spans="2:15" x14ac:dyDescent="0.35">
      <c r="B49" s="111">
        <v>25</v>
      </c>
      <c r="C49" s="274"/>
      <c r="D49" s="74">
        <f t="shared" si="19"/>
        <v>1.2</v>
      </c>
      <c r="E49" s="75">
        <f t="shared" si="15"/>
        <v>4.8000000000000001E-2</v>
      </c>
      <c r="F49" s="69">
        <f t="shared" si="16"/>
        <v>2.88</v>
      </c>
      <c r="G49" s="76">
        <f t="shared" si="17"/>
        <v>2E-3</v>
      </c>
      <c r="H49" s="194"/>
      <c r="I49" s="194"/>
      <c r="J49" s="73">
        <v>8</v>
      </c>
      <c r="K49" s="74">
        <f t="shared" ref="K49:K50" si="26">(K48)</f>
        <v>0.5</v>
      </c>
      <c r="L49" s="75">
        <f>(K49/J49)</f>
        <v>6.25E-2</v>
      </c>
      <c r="M49" s="75"/>
      <c r="N49" s="69">
        <f>(L49*60)</f>
        <v>3.75</v>
      </c>
      <c r="O49" s="76">
        <f t="shared" si="25"/>
        <v>2.6041666666666665E-3</v>
      </c>
    </row>
    <row r="50" spans="2:15" ht="15" thickBot="1" x14ac:dyDescent="0.4">
      <c r="B50" s="111">
        <v>26</v>
      </c>
      <c r="C50" s="274"/>
      <c r="D50" s="74">
        <f t="shared" si="19"/>
        <v>1.2</v>
      </c>
      <c r="E50" s="75">
        <f t="shared" si="15"/>
        <v>4.6153846153846149E-2</v>
      </c>
      <c r="F50" s="69">
        <f t="shared" si="16"/>
        <v>2.7692307692307692</v>
      </c>
      <c r="G50" s="76">
        <f t="shared" si="17"/>
        <v>1.923076923076923E-3</v>
      </c>
      <c r="H50" s="194"/>
      <c r="I50" s="194"/>
      <c r="J50" s="64">
        <v>10</v>
      </c>
      <c r="K50" s="65">
        <f t="shared" si="26"/>
        <v>0.5</v>
      </c>
      <c r="L50" s="66">
        <f>(K50/J50)</f>
        <v>0.05</v>
      </c>
      <c r="M50" s="66"/>
      <c r="N50" s="67">
        <f>(L50*60)</f>
        <v>3</v>
      </c>
      <c r="O50" s="77">
        <f t="shared" si="25"/>
        <v>2.0833333333333333E-3</v>
      </c>
    </row>
    <row r="51" spans="2:15" ht="15" thickBot="1" x14ac:dyDescent="0.4">
      <c r="B51" s="111">
        <v>27</v>
      </c>
      <c r="C51" s="274"/>
      <c r="D51" s="74">
        <f t="shared" si="19"/>
        <v>1.2</v>
      </c>
      <c r="E51" s="75">
        <f t="shared" si="15"/>
        <v>4.4444444444444446E-2</v>
      </c>
      <c r="F51" s="69">
        <f t="shared" si="16"/>
        <v>2.666666666666667</v>
      </c>
      <c r="G51" s="76">
        <f t="shared" si="17"/>
        <v>1.8518518518518521E-3</v>
      </c>
      <c r="H51" s="194"/>
      <c r="I51" s="194"/>
      <c r="J51" s="194"/>
      <c r="K51" s="194"/>
      <c r="L51" s="194"/>
      <c r="M51" s="194"/>
      <c r="N51" s="194"/>
      <c r="O51" s="194"/>
    </row>
    <row r="52" spans="2:15" x14ac:dyDescent="0.35">
      <c r="B52" s="111">
        <v>28</v>
      </c>
      <c r="C52" s="274"/>
      <c r="D52" s="74">
        <f t="shared" si="19"/>
        <v>1.2</v>
      </c>
      <c r="E52" s="75">
        <f t="shared" si="15"/>
        <v>4.2857142857142858E-2</v>
      </c>
      <c r="F52" s="69">
        <f t="shared" si="16"/>
        <v>2.5714285714285716</v>
      </c>
      <c r="G52" s="76">
        <f t="shared" si="17"/>
        <v>1.7857142857142859E-3</v>
      </c>
      <c r="H52" s="194"/>
      <c r="I52" s="194"/>
      <c r="J52" s="264">
        <v>1</v>
      </c>
      <c r="K52" s="275" t="s">
        <v>171</v>
      </c>
      <c r="L52" s="458" t="s">
        <v>25</v>
      </c>
      <c r="M52" s="459"/>
      <c r="N52" s="459"/>
      <c r="O52" s="460"/>
    </row>
    <row r="53" spans="2:15" ht="15" thickBot="1" x14ac:dyDescent="0.4">
      <c r="B53" s="64">
        <v>30</v>
      </c>
      <c r="C53" s="276"/>
      <c r="D53" s="65">
        <f>(D30)</f>
        <v>1.2</v>
      </c>
      <c r="E53" s="66">
        <f>(D53/B53)</f>
        <v>0.04</v>
      </c>
      <c r="F53" s="67">
        <f t="shared" si="16"/>
        <v>2.4</v>
      </c>
      <c r="G53" s="77">
        <f t="shared" si="17"/>
        <v>1.6666666666666666E-3</v>
      </c>
      <c r="H53" s="194"/>
      <c r="I53" s="194"/>
      <c r="J53" s="64" t="s">
        <v>131</v>
      </c>
      <c r="K53" s="65" t="s">
        <v>40</v>
      </c>
      <c r="L53" s="66" t="s">
        <v>132</v>
      </c>
      <c r="M53" s="66"/>
      <c r="N53" s="67" t="s">
        <v>133</v>
      </c>
      <c r="O53" s="270" t="s">
        <v>288</v>
      </c>
    </row>
    <row r="54" spans="2:15" x14ac:dyDescent="0.35">
      <c r="B54" s="194"/>
      <c r="C54" s="194"/>
      <c r="D54" s="387"/>
      <c r="E54" s="194"/>
      <c r="F54" s="194"/>
      <c r="G54" s="194"/>
      <c r="H54" s="194"/>
      <c r="I54" s="194"/>
      <c r="J54" s="70">
        <v>4</v>
      </c>
      <c r="K54" s="273">
        <f>J52</f>
        <v>1</v>
      </c>
      <c r="L54" s="71">
        <f>(K54/J54)</f>
        <v>0.25</v>
      </c>
      <c r="M54" s="71"/>
      <c r="N54" s="272">
        <f>(L54*60)</f>
        <v>15</v>
      </c>
      <c r="O54" s="72">
        <f t="shared" ref="O54:O57" si="27">(N54/1440)</f>
        <v>1.0416666666666666E-2</v>
      </c>
    </row>
    <row r="55" spans="2:15" x14ac:dyDescent="0.35">
      <c r="H55" s="194"/>
      <c r="I55" s="194"/>
      <c r="J55" s="73">
        <v>6</v>
      </c>
      <c r="K55" s="74">
        <f>(K54)</f>
        <v>1</v>
      </c>
      <c r="L55" s="75">
        <f>(K55/J55)</f>
        <v>0.16666666666666666</v>
      </c>
      <c r="M55" s="75"/>
      <c r="N55" s="69">
        <f>(L55*60)</f>
        <v>10</v>
      </c>
      <c r="O55" s="76">
        <f t="shared" si="27"/>
        <v>6.9444444444444441E-3</v>
      </c>
    </row>
    <row r="56" spans="2:15" x14ac:dyDescent="0.35">
      <c r="H56" s="194"/>
      <c r="I56" s="194"/>
      <c r="J56" s="73">
        <v>8</v>
      </c>
      <c r="K56" s="74">
        <f t="shared" ref="K56:K57" si="28">(K55)</f>
        <v>1</v>
      </c>
      <c r="L56" s="75">
        <f>(K56/J56)</f>
        <v>0.125</v>
      </c>
      <c r="M56" s="75"/>
      <c r="N56" s="69">
        <f>(L56*60)</f>
        <v>7.5</v>
      </c>
      <c r="O56" s="76">
        <f t="shared" si="27"/>
        <v>5.208333333333333E-3</v>
      </c>
    </row>
    <row r="57" spans="2:15" ht="15" thickBot="1" x14ac:dyDescent="0.4">
      <c r="H57" s="194"/>
      <c r="I57" s="194"/>
      <c r="J57" s="64">
        <v>10</v>
      </c>
      <c r="K57" s="65">
        <f t="shared" si="28"/>
        <v>1</v>
      </c>
      <c r="L57" s="66">
        <f>(K57/J57)</f>
        <v>0.1</v>
      </c>
      <c r="M57" s="66"/>
      <c r="N57" s="67">
        <f>(L57*60)</f>
        <v>6</v>
      </c>
      <c r="O57" s="77">
        <f t="shared" si="27"/>
        <v>4.1666666666666666E-3</v>
      </c>
    </row>
    <row r="58" spans="2:15" x14ac:dyDescent="0.35">
      <c r="H58" s="194"/>
      <c r="I58" s="194"/>
      <c r="J58" s="194"/>
      <c r="K58" s="194"/>
      <c r="L58" s="194"/>
      <c r="M58" s="194"/>
      <c r="N58" s="194"/>
      <c r="O58" s="194"/>
    </row>
  </sheetData>
  <sheetProtection algorithmName="SHA-512" hashValue="uI3VBz5FEh+jo3QCmaAeKUSQBh5/mmK8TELNA2mdPvtapIBbGltzSTmoxgu2iqGNKN/pbozM2poX9vDv9B0dZQ==" saltValue="8vsQi8NK1JP3tIewyX+qTQ==" spinCount="100000" sheet="1" objects="1" scenarios="1" selectLockedCells="1"/>
  <mergeCells count="15">
    <mergeCell ref="B1:G1"/>
    <mergeCell ref="I1:O1"/>
    <mergeCell ref="F2:G14"/>
    <mergeCell ref="I2:I3"/>
    <mergeCell ref="K2:K3"/>
    <mergeCell ref="O2:O3"/>
    <mergeCell ref="L38:O38"/>
    <mergeCell ref="L45:O45"/>
    <mergeCell ref="L52:O52"/>
    <mergeCell ref="F15:G18"/>
    <mergeCell ref="F19:G22"/>
    <mergeCell ref="J22:K22"/>
    <mergeCell ref="E24:G24"/>
    <mergeCell ref="L24:O24"/>
    <mergeCell ref="L31:O31"/>
  </mergeCells>
  <dataValidations disablePrompts="1" count="1">
    <dataValidation type="list" allowBlank="1" showInputMessage="1" showErrorMessage="1" sqref="L4" xr:uid="{69D604A8-CB6C-4223-8E4A-A3AAEF35B834}">
      <formula1>$Z$5:$Z$6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404F-CA44-4F2A-A79D-DE6787446B5E}">
  <dimension ref="A1:N24"/>
  <sheetViews>
    <sheetView workbookViewId="0">
      <selection activeCell="J10" sqref="J10"/>
    </sheetView>
  </sheetViews>
  <sheetFormatPr defaultColWidth="0" defaultRowHeight="14.5" zeroHeight="1" x14ac:dyDescent="0.35"/>
  <cols>
    <col min="1" max="1" width="31.453125" customWidth="1"/>
    <col min="2" max="2" width="16.26953125" customWidth="1"/>
    <col min="3" max="3" width="15.453125" bestFit="1" customWidth="1"/>
    <col min="4" max="8" width="9.1796875" customWidth="1"/>
    <col min="9" max="9" width="16.26953125" customWidth="1"/>
    <col min="10" max="10" width="10.36328125" customWidth="1"/>
    <col min="11" max="11" width="3.1796875" customWidth="1"/>
    <col min="12" max="14" width="9.1796875" customWidth="1"/>
    <col min="15" max="16384" width="9.1796875" hidden="1"/>
  </cols>
  <sheetData>
    <row r="1" spans="1:11" ht="33" customHeight="1" thickTop="1" thickBot="1" x14ac:dyDescent="0.4">
      <c r="A1" s="490" t="s">
        <v>362</v>
      </c>
      <c r="B1" s="491"/>
      <c r="C1" s="491"/>
      <c r="D1" s="491"/>
      <c r="E1" s="491"/>
      <c r="F1" s="491"/>
      <c r="G1" s="491"/>
      <c r="H1" s="491"/>
      <c r="I1" s="491"/>
      <c r="J1" s="491"/>
      <c r="K1" s="492"/>
    </row>
    <row r="2" spans="1:11" ht="15.5" thickTop="1" thickBot="1" x14ac:dyDescent="0.4">
      <c r="A2" s="486" t="s">
        <v>366</v>
      </c>
      <c r="B2" s="486"/>
      <c r="C2" s="486"/>
      <c r="D2" s="388"/>
      <c r="E2" s="388"/>
      <c r="F2" s="388"/>
      <c r="G2" s="388"/>
      <c r="H2" s="388"/>
      <c r="I2" t="s">
        <v>339</v>
      </c>
    </row>
    <row r="3" spans="1:11" x14ac:dyDescent="0.35">
      <c r="A3" s="389" t="s">
        <v>340</v>
      </c>
      <c r="B3" s="390"/>
      <c r="C3" s="487" t="s">
        <v>320</v>
      </c>
      <c r="D3" s="487"/>
      <c r="E3" s="390"/>
      <c r="F3" s="390"/>
      <c r="G3" s="390"/>
      <c r="H3" s="391"/>
      <c r="I3" s="488" t="s">
        <v>367</v>
      </c>
      <c r="J3" s="489"/>
    </row>
    <row r="4" spans="1:11" x14ac:dyDescent="0.35">
      <c r="A4" s="392" t="s">
        <v>319</v>
      </c>
      <c r="B4" s="393"/>
      <c r="C4" s="394">
        <v>1.1000000000000001</v>
      </c>
      <c r="D4" s="394">
        <v>2.7</v>
      </c>
      <c r="E4" s="394">
        <v>5.4</v>
      </c>
      <c r="F4" s="394">
        <v>8.1</v>
      </c>
      <c r="G4" s="394">
        <v>10.8</v>
      </c>
      <c r="H4" s="395">
        <v>13.5</v>
      </c>
      <c r="I4" s="488"/>
      <c r="J4" s="489"/>
    </row>
    <row r="5" spans="1:11" ht="8.25" customHeight="1" x14ac:dyDescent="0.35">
      <c r="A5" s="396"/>
      <c r="B5" s="397"/>
      <c r="C5" s="398"/>
      <c r="D5" s="398"/>
      <c r="E5" s="398"/>
      <c r="F5" s="398"/>
      <c r="G5" s="398"/>
      <c r="H5" s="399"/>
      <c r="I5" s="488"/>
      <c r="J5" s="489"/>
    </row>
    <row r="6" spans="1:11" ht="16.5" x14ac:dyDescent="0.35">
      <c r="A6" s="400" t="s">
        <v>341</v>
      </c>
      <c r="B6" t="s">
        <v>342</v>
      </c>
      <c r="C6" s="178">
        <f>VLOOKUP($C$3,'Sweep Width'!A5:G24,2,FALSE)</f>
        <v>0.2</v>
      </c>
      <c r="D6" s="178">
        <f>VLOOKUP($C$3,'Sweep Width'!A5:H26,3,FALSE)</f>
        <v>0.2</v>
      </c>
      <c r="E6" s="178">
        <f>VLOOKUP($C$3,'Sweep Width'!A5:H26,4,FALSE)</f>
        <v>0.3</v>
      </c>
      <c r="F6" s="178">
        <f>VLOOKUP($C$3,'Sweep Width'!A5:H26,5,FALSE)</f>
        <v>0.3</v>
      </c>
      <c r="G6" s="178">
        <f>VLOOKUP($C$3,'Sweep Width'!A5:H26,6,FALSE)</f>
        <v>0.3</v>
      </c>
      <c r="H6" s="401">
        <f>VLOOKUP($C$3,'Sweep Width'!A5:H26,7,FALSE)</f>
        <v>0.3</v>
      </c>
      <c r="I6" t="s">
        <v>343</v>
      </c>
      <c r="J6" s="402">
        <f>IF(J15&gt;0, (J11*J14*J15), ("No Data"))</f>
        <v>64</v>
      </c>
    </row>
    <row r="7" spans="1:11" x14ac:dyDescent="0.35">
      <c r="A7" s="400" t="s">
        <v>344</v>
      </c>
      <c r="B7" s="377">
        <v>10</v>
      </c>
      <c r="C7" s="178"/>
      <c r="D7" s="178"/>
      <c r="E7" s="178"/>
      <c r="F7" s="178"/>
      <c r="G7" s="178"/>
      <c r="H7" s="401"/>
      <c r="I7" t="s">
        <v>345</v>
      </c>
      <c r="J7" s="402">
        <f>IF(J15&gt;0, (J10/(J14*J15)),("No Data"))</f>
        <v>11.25</v>
      </c>
    </row>
    <row r="8" spans="1:11" ht="29" x14ac:dyDescent="0.35">
      <c r="A8" s="403" t="s">
        <v>346</v>
      </c>
      <c r="B8" s="404" t="s">
        <v>347</v>
      </c>
      <c r="C8" s="178">
        <f>IF($B$7&lt;15,1,IF($B$7&gt;25,0.25,0.5))</f>
        <v>1</v>
      </c>
      <c r="D8" s="178">
        <f t="shared" ref="D8:H8" si="0">IF($B$7&lt;15,1,IF($B$7&gt;25,0.25,0.5))</f>
        <v>1</v>
      </c>
      <c r="E8" s="178">
        <f t="shared" si="0"/>
        <v>1</v>
      </c>
      <c r="F8" s="178">
        <f t="shared" si="0"/>
        <v>1</v>
      </c>
      <c r="G8" s="178">
        <f t="shared" si="0"/>
        <v>1</v>
      </c>
      <c r="H8" s="401">
        <f t="shared" si="0"/>
        <v>1</v>
      </c>
      <c r="I8" t="s">
        <v>283</v>
      </c>
      <c r="J8" s="402">
        <f>IF(J12&gt;0, (J10/(J11*J15)/J12), ("No Data"))</f>
        <v>18</v>
      </c>
    </row>
    <row r="9" spans="1:11" ht="15" thickBot="1" x14ac:dyDescent="0.4">
      <c r="A9" s="403" t="s">
        <v>346</v>
      </c>
      <c r="B9" t="s">
        <v>348</v>
      </c>
      <c r="C9" s="178">
        <f>IF($B$7&lt;15,1,IF($B$7&gt;25,0.5,0.8))</f>
        <v>1</v>
      </c>
      <c r="D9" s="178">
        <f t="shared" ref="D9:H9" si="1">IF($B$7&lt;15,1,IF($B$7&gt;25,0.5,0.8))</f>
        <v>1</v>
      </c>
      <c r="E9" s="178">
        <f t="shared" si="1"/>
        <v>1</v>
      </c>
      <c r="F9" s="178">
        <f t="shared" si="1"/>
        <v>1</v>
      </c>
      <c r="G9" s="178">
        <f t="shared" si="1"/>
        <v>1</v>
      </c>
      <c r="H9" s="401">
        <f t="shared" si="1"/>
        <v>1</v>
      </c>
    </row>
    <row r="10" spans="1:11" ht="30" thickTop="1" thickBot="1" x14ac:dyDescent="0.4">
      <c r="A10" s="403" t="s">
        <v>349</v>
      </c>
      <c r="B10" s="404" t="s">
        <v>347</v>
      </c>
      <c r="C10" s="178">
        <f>C8*C6</f>
        <v>0.2</v>
      </c>
      <c r="D10" s="178">
        <f t="shared" ref="D10:H10" si="2">D8*D6</f>
        <v>0.2</v>
      </c>
      <c r="E10" s="178">
        <f t="shared" si="2"/>
        <v>0.3</v>
      </c>
      <c r="F10" s="178">
        <f t="shared" si="2"/>
        <v>0.3</v>
      </c>
      <c r="G10" s="178">
        <f t="shared" si="2"/>
        <v>0.3</v>
      </c>
      <c r="H10" s="178">
        <f t="shared" si="2"/>
        <v>0.3</v>
      </c>
      <c r="I10" s="405" t="s">
        <v>350</v>
      </c>
      <c r="J10" s="380">
        <v>144</v>
      </c>
      <c r="K10" t="s">
        <v>351</v>
      </c>
    </row>
    <row r="11" spans="1:11" ht="15.5" thickTop="1" thickBot="1" x14ac:dyDescent="0.4">
      <c r="A11" s="400" t="s">
        <v>349</v>
      </c>
      <c r="B11" t="s">
        <v>348</v>
      </c>
      <c r="C11" s="178">
        <f>C9*C6</f>
        <v>0.2</v>
      </c>
      <c r="D11" s="178">
        <f t="shared" ref="D11:H11" si="3">D9*D6</f>
        <v>0.2</v>
      </c>
      <c r="E11" s="178">
        <f t="shared" si="3"/>
        <v>0.3</v>
      </c>
      <c r="F11" s="178">
        <f t="shared" si="3"/>
        <v>0.3</v>
      </c>
      <c r="G11" s="178">
        <f t="shared" si="3"/>
        <v>0.3</v>
      </c>
      <c r="H11" s="178">
        <f t="shared" si="3"/>
        <v>0.3</v>
      </c>
      <c r="I11" s="405" t="s">
        <v>345</v>
      </c>
      <c r="J11" s="380">
        <v>5</v>
      </c>
      <c r="K11" t="s">
        <v>250</v>
      </c>
    </row>
    <row r="12" spans="1:11" ht="15.5" thickTop="1" thickBot="1" x14ac:dyDescent="0.4">
      <c r="A12" s="396"/>
      <c r="B12" s="397"/>
      <c r="C12" s="398"/>
      <c r="D12" s="398"/>
      <c r="E12" s="398"/>
      <c r="F12" s="398"/>
      <c r="G12" s="398"/>
      <c r="H12" s="398"/>
      <c r="I12" s="405" t="s">
        <v>352</v>
      </c>
      <c r="J12" s="380">
        <v>4</v>
      </c>
    </row>
    <row r="13" spans="1:11" ht="15.5" thickTop="1" thickBot="1" x14ac:dyDescent="0.4">
      <c r="A13" s="400" t="s">
        <v>353</v>
      </c>
      <c r="B13" s="378" t="s">
        <v>261</v>
      </c>
      <c r="C13" s="406">
        <f>IF($B$13="N",1,0.9)</f>
        <v>1</v>
      </c>
      <c r="D13" s="406">
        <f t="shared" ref="D13:H13" si="4">IF($B$13="N",1,0.9)</f>
        <v>1</v>
      </c>
      <c r="E13" s="406">
        <f t="shared" si="4"/>
        <v>1</v>
      </c>
      <c r="F13" s="406">
        <f t="shared" si="4"/>
        <v>1</v>
      </c>
      <c r="G13" s="406">
        <f t="shared" si="4"/>
        <v>1</v>
      </c>
      <c r="H13" s="406">
        <f t="shared" si="4"/>
        <v>1</v>
      </c>
      <c r="I13" s="405" t="s">
        <v>354</v>
      </c>
      <c r="J13" s="380">
        <v>8</v>
      </c>
    </row>
    <row r="14" spans="1:11" ht="30" thickTop="1" thickBot="1" x14ac:dyDescent="0.4">
      <c r="A14" s="403" t="s">
        <v>355</v>
      </c>
      <c r="B14" s="404" t="s">
        <v>347</v>
      </c>
      <c r="C14" s="178">
        <f>C13*C10</f>
        <v>0.2</v>
      </c>
      <c r="D14" s="178">
        <f t="shared" ref="D14:H14" si="5">D13*D10</f>
        <v>0.2</v>
      </c>
      <c r="E14" s="178">
        <f t="shared" si="5"/>
        <v>0.3</v>
      </c>
      <c r="F14" s="178">
        <f t="shared" si="5"/>
        <v>0.3</v>
      </c>
      <c r="G14" s="178">
        <f t="shared" si="5"/>
        <v>0.3</v>
      </c>
      <c r="H14" s="178">
        <f t="shared" si="5"/>
        <v>0.3</v>
      </c>
      <c r="I14" s="405" t="s">
        <v>356</v>
      </c>
      <c r="J14" s="407">
        <f>J13*J12</f>
        <v>32</v>
      </c>
      <c r="K14" t="s">
        <v>357</v>
      </c>
    </row>
    <row r="15" spans="1:11" ht="15.5" thickTop="1" thickBot="1" x14ac:dyDescent="0.4">
      <c r="A15" s="400" t="s">
        <v>355</v>
      </c>
      <c r="B15" t="s">
        <v>348</v>
      </c>
      <c r="C15" s="178">
        <f>C13*C11</f>
        <v>0.2</v>
      </c>
      <c r="D15" s="178">
        <f t="shared" ref="D15:H15" si="6">D13*D11</f>
        <v>0.2</v>
      </c>
      <c r="E15" s="178">
        <f t="shared" si="6"/>
        <v>0.3</v>
      </c>
      <c r="F15" s="178">
        <f t="shared" si="6"/>
        <v>0.3</v>
      </c>
      <c r="G15" s="178">
        <f t="shared" si="6"/>
        <v>0.3</v>
      </c>
      <c r="H15" s="178">
        <f t="shared" si="6"/>
        <v>0.3</v>
      </c>
      <c r="I15" s="405" t="s">
        <v>358</v>
      </c>
      <c r="J15" s="380">
        <v>0.4</v>
      </c>
      <c r="K15" t="s">
        <v>359</v>
      </c>
    </row>
    <row r="16" spans="1:11" ht="9.75" customHeight="1" thickTop="1" x14ac:dyDescent="0.35">
      <c r="A16" s="396"/>
      <c r="B16" s="397"/>
      <c r="C16" s="398"/>
      <c r="D16" s="398"/>
      <c r="E16" s="398"/>
      <c r="F16" s="398"/>
      <c r="G16" s="398"/>
      <c r="H16" s="399"/>
    </row>
    <row r="17" spans="1:8" x14ac:dyDescent="0.35">
      <c r="A17" s="400" t="s">
        <v>360</v>
      </c>
      <c r="B17" s="379">
        <v>1</v>
      </c>
      <c r="C17" s="178"/>
      <c r="D17" s="178"/>
      <c r="E17" s="178"/>
      <c r="F17" s="178"/>
      <c r="G17" s="178"/>
      <c r="H17" s="401"/>
    </row>
    <row r="18" spans="1:8" ht="9.75" customHeight="1" thickBot="1" x14ac:dyDescent="0.4">
      <c r="A18" s="408"/>
      <c r="B18" s="409"/>
      <c r="C18" s="410"/>
      <c r="D18" s="410"/>
      <c r="E18" s="410"/>
      <c r="F18" s="410"/>
      <c r="G18" s="410"/>
      <c r="H18" s="411"/>
    </row>
    <row r="19" spans="1:8" ht="36" customHeight="1" thickBot="1" x14ac:dyDescent="0.4">
      <c r="A19" s="412" t="s">
        <v>361</v>
      </c>
      <c r="B19" s="413" t="s">
        <v>347</v>
      </c>
      <c r="C19" s="414">
        <f>C14/$B$17</f>
        <v>0.2</v>
      </c>
      <c r="D19" s="414">
        <f t="shared" ref="D19:H20" si="7">D14/$B$17</f>
        <v>0.2</v>
      </c>
      <c r="E19" s="414">
        <f t="shared" si="7"/>
        <v>0.3</v>
      </c>
      <c r="F19" s="414">
        <f t="shared" si="7"/>
        <v>0.3</v>
      </c>
      <c r="G19" s="414">
        <f t="shared" si="7"/>
        <v>0.3</v>
      </c>
      <c r="H19" s="414">
        <f t="shared" si="7"/>
        <v>0.3</v>
      </c>
    </row>
    <row r="20" spans="1:8" ht="15.5" thickTop="1" thickBot="1" x14ac:dyDescent="0.4">
      <c r="A20" s="412" t="s">
        <v>361</v>
      </c>
      <c r="B20" s="415" t="s">
        <v>348</v>
      </c>
      <c r="C20" s="416">
        <f>C15/$B$17</f>
        <v>0.2</v>
      </c>
      <c r="D20" s="416">
        <f t="shared" si="7"/>
        <v>0.2</v>
      </c>
      <c r="E20" s="416">
        <f t="shared" si="7"/>
        <v>0.3</v>
      </c>
      <c r="F20" s="416">
        <f t="shared" si="7"/>
        <v>0.3</v>
      </c>
      <c r="G20" s="416">
        <f t="shared" si="7"/>
        <v>0.3</v>
      </c>
      <c r="H20" s="416">
        <f t="shared" si="7"/>
        <v>0.3</v>
      </c>
    </row>
    <row r="21" spans="1:8" ht="15.5" thickTop="1" thickBot="1" x14ac:dyDescent="0.4">
      <c r="A21" s="417" t="s">
        <v>365</v>
      </c>
      <c r="B21" s="417"/>
      <c r="C21" s="417"/>
      <c r="D21" s="417"/>
      <c r="E21" s="417"/>
      <c r="F21" s="417"/>
      <c r="G21" s="417"/>
      <c r="H21" s="417"/>
    </row>
    <row r="22" spans="1:8" ht="34.5" customHeight="1" thickTop="1" thickBot="1" x14ac:dyDescent="0.4">
      <c r="A22" s="418" t="s">
        <v>364</v>
      </c>
      <c r="B22" s="419" t="s">
        <v>347</v>
      </c>
      <c r="C22" s="416">
        <f>ROUNDUP((C19*1852),0)</f>
        <v>371</v>
      </c>
      <c r="D22" s="416">
        <f t="shared" ref="D22:H22" si="8">ROUNDUP((D19*1852),0)</f>
        <v>371</v>
      </c>
      <c r="E22" s="416">
        <f t="shared" si="8"/>
        <v>556</v>
      </c>
      <c r="F22" s="416">
        <f t="shared" si="8"/>
        <v>556</v>
      </c>
      <c r="G22" s="416">
        <f t="shared" si="8"/>
        <v>556</v>
      </c>
      <c r="H22" s="416">
        <f t="shared" si="8"/>
        <v>556</v>
      </c>
    </row>
    <row r="23" spans="1:8" ht="15.5" thickTop="1" thickBot="1" x14ac:dyDescent="0.4">
      <c r="A23" s="412" t="s">
        <v>364</v>
      </c>
      <c r="B23" s="415" t="s">
        <v>348</v>
      </c>
      <c r="C23" s="416">
        <f t="shared" ref="C23:H23" si="9">ROUNDUP((C20*1852),0)</f>
        <v>371</v>
      </c>
      <c r="D23" s="416">
        <f t="shared" si="9"/>
        <v>371</v>
      </c>
      <c r="E23" s="416">
        <f t="shared" si="9"/>
        <v>556</v>
      </c>
      <c r="F23" s="416">
        <f t="shared" si="9"/>
        <v>556</v>
      </c>
      <c r="G23" s="416">
        <f t="shared" si="9"/>
        <v>556</v>
      </c>
      <c r="H23" s="416">
        <f t="shared" si="9"/>
        <v>556</v>
      </c>
    </row>
    <row r="24" spans="1:8" ht="15" thickTop="1" x14ac:dyDescent="0.35"/>
  </sheetData>
  <sheetProtection algorithmName="SHA-512" hashValue="H6HnGp1E+zcMde7PfoslhkvONVRjcVUlDAMFt8n+pG12N6xlq6TgRKTJQdFoGDEG0fe16M3fyeyLm9rdDaPonA==" saltValue="acViqk2Kt6LMrS6ZA8YSOA==" spinCount="100000" sheet="1" objects="1" scenarios="1" selectLockedCells="1"/>
  <mergeCells count="4">
    <mergeCell ref="A2:C2"/>
    <mergeCell ref="C3:D3"/>
    <mergeCell ref="I3:J5"/>
    <mergeCell ref="A1:K1"/>
  </mergeCell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DA038BF-58FD-4483-A576-243FE5F6F601}">
          <x14:formula1>
            <xm:f>'Sweep Width'!$B$4:$G$4</xm:f>
          </x14:formula1>
          <xm:sqref>C4:H4</xm:sqref>
        </x14:dataValidation>
        <x14:dataValidation type="list" allowBlank="1" showInputMessage="1" showErrorMessage="1" xr:uid="{1CF98E39-363E-49F2-8E15-0396D01961BE}">
          <x14:formula1>
            <xm:f>'Sweep Width'!$A$5:$A$24</xm:f>
          </x14:formula1>
          <xm:sqref>C3:D3</xm:sqref>
        </x14:dataValidation>
        <x14:dataValidation type="list" allowBlank="1" showInputMessage="1" showErrorMessage="1" xr:uid="{3E01E3DD-47FB-456F-BC9C-B1040E6B4C80}">
          <x14:formula1>
            <xm:f>'Sweep Width'!$I$2:$I$3</xm:f>
          </x14:formula1>
          <xm:sqref>B13</xm:sqref>
        </x14:dataValidation>
        <x14:dataValidation type="list" allowBlank="1" showInputMessage="1" showErrorMessage="1" xr:uid="{A162A928-FD01-4410-9B55-3D24CCD26A87}">
          <x14:formula1>
            <xm:f>'Sweep Width'!$I$4:$I$33</xm:f>
          </x14:formula1>
          <xm:sqref>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5706-8467-475F-9BF8-761EF526F72D}">
  <dimension ref="A1:I33"/>
  <sheetViews>
    <sheetView workbookViewId="0">
      <selection activeCell="E14" sqref="E14"/>
    </sheetView>
  </sheetViews>
  <sheetFormatPr defaultColWidth="0" defaultRowHeight="14.5" zeroHeight="1" x14ac:dyDescent="0.35"/>
  <cols>
    <col min="1" max="1" width="32.1796875" customWidth="1"/>
    <col min="2" max="7" width="9.1796875" customWidth="1"/>
    <col min="8" max="8" width="8.90625" customWidth="1"/>
    <col min="9" max="9" width="9.1796875" hidden="1" customWidth="1"/>
    <col min="10" max="16384" width="9.1796875" hidden="1"/>
  </cols>
  <sheetData>
    <row r="1" spans="1:9" ht="15" thickBot="1" x14ac:dyDescent="0.4">
      <c r="A1" t="s">
        <v>316</v>
      </c>
    </row>
    <row r="2" spans="1:9" ht="15" thickBot="1" x14ac:dyDescent="0.4">
      <c r="B2" s="493" t="s">
        <v>317</v>
      </c>
      <c r="C2" s="494"/>
      <c r="D2" s="494"/>
      <c r="E2" s="494"/>
      <c r="F2" s="494"/>
      <c r="G2" s="494"/>
      <c r="I2" t="s">
        <v>261</v>
      </c>
    </row>
    <row r="3" spans="1:9" ht="15" thickTop="1" x14ac:dyDescent="0.35">
      <c r="A3" s="371" t="s">
        <v>318</v>
      </c>
      <c r="B3" s="372">
        <v>2</v>
      </c>
      <c r="C3" s="372">
        <v>5</v>
      </c>
      <c r="D3" s="372">
        <v>10</v>
      </c>
      <c r="E3" s="372">
        <v>15</v>
      </c>
      <c r="F3" s="372">
        <v>20</v>
      </c>
      <c r="G3" s="372">
        <v>25</v>
      </c>
      <c r="I3" t="s">
        <v>363</v>
      </c>
    </row>
    <row r="4" spans="1:9" ht="15" thickBot="1" x14ac:dyDescent="0.4">
      <c r="A4" s="373" t="s">
        <v>319</v>
      </c>
      <c r="B4" s="374">
        <v>1.1000000000000001</v>
      </c>
      <c r="C4" s="374">
        <v>2.7</v>
      </c>
      <c r="D4" s="374">
        <v>5.4</v>
      </c>
      <c r="E4" s="374">
        <v>8.1</v>
      </c>
      <c r="F4" s="374">
        <v>10.8</v>
      </c>
      <c r="G4" s="374">
        <v>13.5</v>
      </c>
      <c r="I4" s="381">
        <v>0.1</v>
      </c>
    </row>
    <row r="5" spans="1:9" ht="15.5" thickTop="1" thickBot="1" x14ac:dyDescent="0.4">
      <c r="A5" s="375" t="s">
        <v>320</v>
      </c>
      <c r="B5" s="376">
        <v>0.2</v>
      </c>
      <c r="C5" s="376">
        <v>0.2</v>
      </c>
      <c r="D5" s="376">
        <v>0.3</v>
      </c>
      <c r="E5" s="376">
        <v>0.3</v>
      </c>
      <c r="F5" s="376">
        <v>0.3</v>
      </c>
      <c r="G5" s="376">
        <v>0.3</v>
      </c>
      <c r="I5" s="381">
        <v>0.2</v>
      </c>
    </row>
    <row r="6" spans="1:9" ht="15.5" thickTop="1" thickBot="1" x14ac:dyDescent="0.4">
      <c r="A6" s="375" t="s">
        <v>321</v>
      </c>
      <c r="B6" s="376">
        <v>0.7</v>
      </c>
      <c r="C6" s="376">
        <v>1.2</v>
      </c>
      <c r="D6" s="376">
        <v>1.8</v>
      </c>
      <c r="E6" s="376">
        <v>2.1</v>
      </c>
      <c r="F6" s="376">
        <v>2.4</v>
      </c>
      <c r="G6" s="376">
        <v>2.5</v>
      </c>
      <c r="I6" s="381">
        <v>0.3</v>
      </c>
    </row>
    <row r="7" spans="1:9" ht="15.5" thickTop="1" thickBot="1" x14ac:dyDescent="0.4">
      <c r="A7" s="375" t="s">
        <v>326</v>
      </c>
      <c r="B7" s="376">
        <v>0.8</v>
      </c>
      <c r="C7" s="376">
        <v>1.5</v>
      </c>
      <c r="D7" s="376">
        <v>2.2999999999999998</v>
      </c>
      <c r="E7" s="376">
        <v>2.9</v>
      </c>
      <c r="F7" s="376">
        <v>3.2</v>
      </c>
      <c r="G7" s="376">
        <v>3.4</v>
      </c>
      <c r="I7" s="381">
        <v>0.4</v>
      </c>
    </row>
    <row r="8" spans="1:9" ht="15.5" thickTop="1" thickBot="1" x14ac:dyDescent="0.4">
      <c r="A8" s="375" t="s">
        <v>327</v>
      </c>
      <c r="B8" s="376">
        <v>0.9</v>
      </c>
      <c r="C8" s="376">
        <v>1.7</v>
      </c>
      <c r="D8" s="376">
        <v>2.7</v>
      </c>
      <c r="E8" s="376">
        <v>3.4</v>
      </c>
      <c r="F8" s="376">
        <v>3.8</v>
      </c>
      <c r="G8" s="376">
        <v>4.0999999999999996</v>
      </c>
      <c r="I8" s="381">
        <v>0.5</v>
      </c>
    </row>
    <row r="9" spans="1:9" ht="15.5" thickTop="1" thickBot="1" x14ac:dyDescent="0.4">
      <c r="A9" s="375" t="s">
        <v>328</v>
      </c>
      <c r="B9" s="376">
        <v>0.9</v>
      </c>
      <c r="C9" s="376">
        <v>1.7</v>
      </c>
      <c r="D9" s="376">
        <v>2.8</v>
      </c>
      <c r="E9" s="376">
        <v>3.5</v>
      </c>
      <c r="F9" s="376">
        <v>4</v>
      </c>
      <c r="G9" s="376">
        <v>4.2</v>
      </c>
      <c r="I9" s="381">
        <v>0.6</v>
      </c>
    </row>
    <row r="10" spans="1:9" ht="15.5" thickTop="1" thickBot="1" x14ac:dyDescent="0.4">
      <c r="A10" s="375" t="s">
        <v>322</v>
      </c>
      <c r="B10" s="376">
        <v>0.9</v>
      </c>
      <c r="C10" s="376">
        <v>1.8</v>
      </c>
      <c r="D10" s="376">
        <v>2.9</v>
      </c>
      <c r="E10" s="376">
        <v>3.7</v>
      </c>
      <c r="F10" s="376">
        <v>4.2</v>
      </c>
      <c r="G10" s="376">
        <v>4.5999999999999996</v>
      </c>
      <c r="I10" s="381">
        <v>0.7</v>
      </c>
    </row>
    <row r="11" spans="1:9" ht="15.5" thickTop="1" thickBot="1" x14ac:dyDescent="0.4">
      <c r="A11" s="375" t="s">
        <v>323</v>
      </c>
      <c r="B11" s="376">
        <v>1</v>
      </c>
      <c r="C11" s="376">
        <v>2</v>
      </c>
      <c r="D11" s="376">
        <v>3.2</v>
      </c>
      <c r="E11" s="376">
        <v>4</v>
      </c>
      <c r="F11" s="376">
        <v>4.5</v>
      </c>
      <c r="G11" s="376">
        <v>4.9000000000000004</v>
      </c>
      <c r="I11" s="381">
        <v>0.8</v>
      </c>
    </row>
    <row r="12" spans="1:9" ht="15.5" thickTop="1" thickBot="1" x14ac:dyDescent="0.4">
      <c r="A12" s="375" t="s">
        <v>324</v>
      </c>
      <c r="B12" s="376">
        <v>1</v>
      </c>
      <c r="C12" s="376">
        <v>2.1</v>
      </c>
      <c r="D12" s="376">
        <v>3.5</v>
      </c>
      <c r="E12" s="376">
        <v>4.4000000000000004</v>
      </c>
      <c r="F12" s="376">
        <v>5.0999999999999996</v>
      </c>
      <c r="G12" s="376">
        <v>5.6</v>
      </c>
      <c r="I12" s="381">
        <v>0.9</v>
      </c>
    </row>
    <row r="13" spans="1:9" ht="15.5" thickTop="1" thickBot="1" x14ac:dyDescent="0.4">
      <c r="A13" s="375" t="s">
        <v>325</v>
      </c>
      <c r="B13" s="376">
        <v>1</v>
      </c>
      <c r="C13" s="376">
        <v>2.2000000000000002</v>
      </c>
      <c r="D13" s="376">
        <v>3.7</v>
      </c>
      <c r="E13" s="376">
        <v>4.7</v>
      </c>
      <c r="F13" s="376">
        <v>5.5</v>
      </c>
      <c r="G13" s="376">
        <v>6</v>
      </c>
      <c r="I13" s="381">
        <v>1</v>
      </c>
    </row>
    <row r="14" spans="1:9" ht="15.5" thickTop="1" thickBot="1" x14ac:dyDescent="0.4">
      <c r="A14" s="375" t="s">
        <v>333</v>
      </c>
      <c r="B14" s="376">
        <v>0.5</v>
      </c>
      <c r="C14" s="376">
        <v>0.7</v>
      </c>
      <c r="D14" s="376">
        <v>1</v>
      </c>
      <c r="E14" s="376">
        <v>1.2</v>
      </c>
      <c r="F14" s="376">
        <v>1.3</v>
      </c>
      <c r="G14" s="376">
        <v>1.4</v>
      </c>
      <c r="I14" s="381">
        <v>1.1000000000000001</v>
      </c>
    </row>
    <row r="15" spans="1:9" ht="15.5" thickTop="1" thickBot="1" x14ac:dyDescent="0.4">
      <c r="A15" s="375" t="s">
        <v>331</v>
      </c>
      <c r="B15" s="376">
        <v>0.8</v>
      </c>
      <c r="C15" s="376">
        <v>1.4</v>
      </c>
      <c r="D15" s="376">
        <v>2.2999999999999998</v>
      </c>
      <c r="E15" s="376">
        <v>2.9</v>
      </c>
      <c r="F15" s="376">
        <v>3.4</v>
      </c>
      <c r="G15" s="376">
        <v>3.8</v>
      </c>
      <c r="I15" s="381">
        <v>1.2</v>
      </c>
    </row>
    <row r="16" spans="1:9" ht="15.5" thickTop="1" thickBot="1" x14ac:dyDescent="0.4">
      <c r="A16" s="375" t="s">
        <v>332</v>
      </c>
      <c r="B16" s="376">
        <v>0.8</v>
      </c>
      <c r="C16" s="376">
        <v>1.8</v>
      </c>
      <c r="D16" s="376">
        <v>3.1</v>
      </c>
      <c r="E16" s="376">
        <v>4.0999999999999996</v>
      </c>
      <c r="F16" s="376">
        <v>4.9000000000000004</v>
      </c>
      <c r="G16" s="376">
        <v>5.6</v>
      </c>
      <c r="I16" s="381">
        <v>1.3</v>
      </c>
    </row>
    <row r="17" spans="1:9" ht="15.5" thickTop="1" thickBot="1" x14ac:dyDescent="0.4">
      <c r="A17" s="375" t="s">
        <v>329</v>
      </c>
      <c r="B17" s="376">
        <v>0.9</v>
      </c>
      <c r="C17" s="376">
        <v>2.2000000000000002</v>
      </c>
      <c r="D17" s="376">
        <v>4.2</v>
      </c>
      <c r="E17" s="376">
        <v>5.9</v>
      </c>
      <c r="F17" s="376">
        <v>7.4</v>
      </c>
      <c r="G17" s="376">
        <v>8.6999999999999993</v>
      </c>
      <c r="I17" s="381">
        <v>1.4</v>
      </c>
    </row>
    <row r="18" spans="1:9" ht="15.5" thickTop="1" thickBot="1" x14ac:dyDescent="0.4">
      <c r="A18" s="375" t="s">
        <v>330</v>
      </c>
      <c r="B18" s="376">
        <v>0.9</v>
      </c>
      <c r="C18" s="376">
        <v>2.2999999999999998</v>
      </c>
      <c r="D18" s="376">
        <v>4.5999999999999996</v>
      </c>
      <c r="E18" s="376">
        <v>6.8</v>
      </c>
      <c r="F18" s="376">
        <v>8.8000000000000007</v>
      </c>
      <c r="G18" s="376">
        <v>10.6</v>
      </c>
      <c r="I18" s="381">
        <v>1.5</v>
      </c>
    </row>
    <row r="19" spans="1:9" ht="15.5" thickTop="1" thickBot="1" x14ac:dyDescent="0.4">
      <c r="A19" s="375" t="s">
        <v>338</v>
      </c>
      <c r="B19" s="376">
        <v>0.8</v>
      </c>
      <c r="C19" s="376">
        <v>1.4</v>
      </c>
      <c r="D19" s="376">
        <v>2.2000000000000002</v>
      </c>
      <c r="E19" s="376">
        <v>2.7</v>
      </c>
      <c r="F19" s="376">
        <v>3.1</v>
      </c>
      <c r="G19" s="376">
        <v>3.4</v>
      </c>
      <c r="I19" s="381">
        <v>1.6</v>
      </c>
    </row>
    <row r="20" spans="1:9" ht="15.5" thickTop="1" thickBot="1" x14ac:dyDescent="0.4">
      <c r="A20" s="375" t="s">
        <v>334</v>
      </c>
      <c r="B20" s="376">
        <v>0.8</v>
      </c>
      <c r="C20" s="376">
        <v>1.6</v>
      </c>
      <c r="D20" s="376">
        <v>2.6</v>
      </c>
      <c r="E20" s="376">
        <v>3.3</v>
      </c>
      <c r="F20" s="376">
        <v>3.9</v>
      </c>
      <c r="G20" s="376">
        <v>4.4000000000000004</v>
      </c>
      <c r="I20" s="381">
        <v>1.7</v>
      </c>
    </row>
    <row r="21" spans="1:9" ht="15.5" thickTop="1" thickBot="1" x14ac:dyDescent="0.4">
      <c r="A21" s="375" t="s">
        <v>335</v>
      </c>
      <c r="B21" s="376">
        <v>0.9</v>
      </c>
      <c r="C21" s="376">
        <v>1.8</v>
      </c>
      <c r="D21" s="376">
        <v>2.9</v>
      </c>
      <c r="E21" s="376">
        <v>3.9</v>
      </c>
      <c r="F21" s="376">
        <v>4.5999999999999996</v>
      </c>
      <c r="G21" s="376">
        <v>5.0999999999999996</v>
      </c>
      <c r="I21" s="381">
        <v>1.8</v>
      </c>
    </row>
    <row r="22" spans="1:9" ht="15.5" thickTop="1" thickBot="1" x14ac:dyDescent="0.4">
      <c r="A22" s="375" t="s">
        <v>336</v>
      </c>
      <c r="B22" s="376">
        <v>0.9</v>
      </c>
      <c r="C22" s="376">
        <v>2</v>
      </c>
      <c r="D22" s="376">
        <v>3.4</v>
      </c>
      <c r="E22" s="376">
        <v>4.5999999999999996</v>
      </c>
      <c r="F22" s="376">
        <v>5.5</v>
      </c>
      <c r="G22" s="376">
        <v>6.3</v>
      </c>
      <c r="I22" s="381">
        <v>1.9</v>
      </c>
    </row>
    <row r="23" spans="1:9" ht="15.5" thickTop="1" thickBot="1" x14ac:dyDescent="0.4">
      <c r="A23" s="375" t="s">
        <v>337</v>
      </c>
      <c r="B23" s="376">
        <v>0.9</v>
      </c>
      <c r="C23" s="376">
        <v>2.2000000000000002</v>
      </c>
      <c r="D23" s="376">
        <v>4.0999999999999996</v>
      </c>
      <c r="E23" s="376">
        <v>5.7</v>
      </c>
      <c r="F23" s="376">
        <v>7</v>
      </c>
      <c r="G23" s="376">
        <v>8.1</v>
      </c>
      <c r="I23" s="381">
        <v>2</v>
      </c>
    </row>
    <row r="24" spans="1:9" ht="15.5" thickTop="1" thickBot="1" x14ac:dyDescent="0.4">
      <c r="A24" s="375" t="s">
        <v>338</v>
      </c>
      <c r="B24" s="376">
        <v>0.8</v>
      </c>
      <c r="C24" s="376">
        <v>1.4</v>
      </c>
      <c r="D24" s="376">
        <v>2.2000000000000002</v>
      </c>
      <c r="E24" s="376">
        <v>2.7</v>
      </c>
      <c r="F24" s="376">
        <v>3.1</v>
      </c>
      <c r="G24" s="376">
        <v>3.4</v>
      </c>
      <c r="I24" s="381">
        <v>2.1</v>
      </c>
    </row>
    <row r="25" spans="1:9" ht="15" thickTop="1" x14ac:dyDescent="0.35">
      <c r="I25" s="381">
        <v>2.2000000000000002</v>
      </c>
    </row>
    <row r="26" spans="1:9" x14ac:dyDescent="0.35">
      <c r="I26" s="381">
        <v>2.2999999999999998</v>
      </c>
    </row>
    <row r="27" spans="1:9" hidden="1" x14ac:dyDescent="0.35">
      <c r="I27" s="381">
        <v>2.4</v>
      </c>
    </row>
    <row r="28" spans="1:9" hidden="1" x14ac:dyDescent="0.35">
      <c r="I28" s="381">
        <v>2.5</v>
      </c>
    </row>
    <row r="29" spans="1:9" hidden="1" x14ac:dyDescent="0.35">
      <c r="I29" s="381">
        <v>2.6</v>
      </c>
    </row>
    <row r="30" spans="1:9" hidden="1" x14ac:dyDescent="0.35">
      <c r="I30" s="381">
        <v>2.7</v>
      </c>
    </row>
    <row r="31" spans="1:9" hidden="1" x14ac:dyDescent="0.35">
      <c r="I31" s="381">
        <v>2.8</v>
      </c>
    </row>
    <row r="32" spans="1:9" hidden="1" x14ac:dyDescent="0.35">
      <c r="I32" s="381">
        <v>2.9</v>
      </c>
    </row>
    <row r="33" spans="9:9" hidden="1" x14ac:dyDescent="0.35">
      <c r="I33" s="381">
        <v>3</v>
      </c>
    </row>
  </sheetData>
  <sheetProtection algorithmName="SHA-512" hashValue="2EEtgkWSYW/cPse/M6mZbdzcOvrM2b8UPTjnCGBFpWib9VEVvosqIws/TvQ/yblladMyYEMkaxKVabrHq/KYcg==" saltValue="JW74Fu1BJwq3Wg4riMejeA==" spinCount="100000" sheet="1" objects="1" scenarios="1" selectLockedCells="1"/>
  <mergeCells count="1">
    <mergeCell ref="B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02B8-AA3B-4FAB-BAAB-89C7ABD0C0F8}">
  <dimension ref="A1:Z46"/>
  <sheetViews>
    <sheetView topLeftCell="A28" workbookViewId="0">
      <selection activeCell="V45" sqref="V45"/>
    </sheetView>
  </sheetViews>
  <sheetFormatPr defaultColWidth="0" defaultRowHeight="14.5" zeroHeight="1" x14ac:dyDescent="0.35"/>
  <cols>
    <col min="1" max="1" width="0.36328125" style="194" customWidth="1"/>
    <col min="2" max="2" width="4" style="84" customWidth="1"/>
    <col min="3" max="5" width="7.08984375" style="178" customWidth="1"/>
    <col min="6" max="6" width="0.26953125" style="178" customWidth="1"/>
    <col min="7" max="9" width="7.08984375" style="178" customWidth="1"/>
    <col min="10" max="10" width="8.984375E-2" style="178" customWidth="1"/>
    <col min="11" max="11" width="7.08984375" style="178" customWidth="1"/>
    <col min="12" max="12" width="0.36328125" style="194" customWidth="1"/>
    <col min="13" max="13" width="5.08984375" customWidth="1"/>
    <col min="14" max="15" width="7.6328125" customWidth="1"/>
    <col min="16" max="17" width="6.453125" customWidth="1"/>
    <col min="18" max="18" width="7.90625" customWidth="1"/>
    <col min="19" max="19" width="9.453125" customWidth="1"/>
    <col min="20" max="20" width="0.36328125" style="194" customWidth="1"/>
    <col min="21" max="22" width="8.1796875" customWidth="1"/>
    <col min="23" max="23" width="9.453125" customWidth="1"/>
    <col min="24" max="24" width="9.453125" style="84" customWidth="1"/>
    <col min="25" max="26" width="9.1796875" customWidth="1"/>
    <col min="27" max="16384" width="9.1796875" hidden="1"/>
  </cols>
  <sheetData>
    <row r="1" spans="1:24" ht="24" thickBot="1" x14ac:dyDescent="0.4">
      <c r="B1" s="512" t="s">
        <v>236</v>
      </c>
      <c r="C1" s="512"/>
      <c r="D1" s="512"/>
      <c r="E1" s="512"/>
      <c r="F1" s="512"/>
      <c r="G1" s="512"/>
      <c r="H1" s="512"/>
      <c r="I1" s="512"/>
      <c r="J1" s="512"/>
      <c r="K1" s="512"/>
      <c r="M1" s="513" t="s">
        <v>161</v>
      </c>
      <c r="N1" s="513"/>
      <c r="O1" s="513"/>
      <c r="P1" s="513"/>
      <c r="Q1" s="513"/>
      <c r="R1" s="513"/>
      <c r="S1" s="513"/>
      <c r="U1" s="514" t="s">
        <v>289</v>
      </c>
      <c r="V1" s="515"/>
    </row>
    <row r="2" spans="1:24" s="177" customFormat="1" ht="24" thickBot="1" x14ac:dyDescent="0.6">
      <c r="A2" s="277"/>
      <c r="B2" s="502" t="s">
        <v>241</v>
      </c>
      <c r="C2" s="503"/>
      <c r="D2" s="503"/>
      <c r="E2" s="503"/>
      <c r="F2" s="278"/>
      <c r="G2" s="516" t="s">
        <v>237</v>
      </c>
      <c r="H2" s="516"/>
      <c r="I2" s="516"/>
      <c r="J2" s="503" t="s">
        <v>239</v>
      </c>
      <c r="K2" s="505"/>
      <c r="L2" s="277"/>
      <c r="M2" s="517" t="s">
        <v>290</v>
      </c>
      <c r="N2" s="517"/>
      <c r="O2" s="517"/>
      <c r="P2" s="517"/>
      <c r="Q2" s="517"/>
      <c r="R2" s="517"/>
      <c r="S2" s="517"/>
      <c r="T2" s="277"/>
      <c r="U2" s="279">
        <v>0</v>
      </c>
      <c r="V2" s="280" t="s">
        <v>227</v>
      </c>
      <c r="X2" s="281"/>
    </row>
    <row r="3" spans="1:24" s="177" customFormat="1" ht="24" thickBot="1" x14ac:dyDescent="0.6">
      <c r="A3" s="277"/>
      <c r="B3" s="502" t="s">
        <v>241</v>
      </c>
      <c r="C3" s="503"/>
      <c r="D3" s="503"/>
      <c r="E3" s="503"/>
      <c r="F3" s="278"/>
      <c r="G3" s="504" t="s">
        <v>238</v>
      </c>
      <c r="H3" s="504"/>
      <c r="I3" s="504"/>
      <c r="J3" s="503" t="s">
        <v>240</v>
      </c>
      <c r="K3" s="505"/>
      <c r="L3" s="277"/>
      <c r="M3" s="506" t="s">
        <v>291</v>
      </c>
      <c r="N3" s="508" t="s">
        <v>292</v>
      </c>
      <c r="O3" s="510" t="s">
        <v>293</v>
      </c>
      <c r="P3" s="495" t="s">
        <v>25</v>
      </c>
      <c r="Q3" s="496"/>
      <c r="R3" s="497"/>
      <c r="S3" s="282" t="s">
        <v>294</v>
      </c>
      <c r="T3" s="277"/>
      <c r="U3" s="498" t="s">
        <v>295</v>
      </c>
      <c r="V3" s="500" t="s">
        <v>296</v>
      </c>
      <c r="X3" s="281"/>
    </row>
    <row r="4" spans="1:24" s="176" customFormat="1" ht="16" thickBot="1" x14ac:dyDescent="0.4">
      <c r="A4" s="283"/>
      <c r="B4" s="284" t="s">
        <v>272</v>
      </c>
      <c r="C4" s="365" t="s">
        <v>235</v>
      </c>
      <c r="D4" s="286" t="s">
        <v>179</v>
      </c>
      <c r="E4" s="287" t="s">
        <v>246</v>
      </c>
      <c r="F4" s="288" t="s">
        <v>248</v>
      </c>
      <c r="G4" s="289" t="s">
        <v>136</v>
      </c>
      <c r="H4" s="286" t="s">
        <v>234</v>
      </c>
      <c r="I4" s="287" t="s">
        <v>246</v>
      </c>
      <c r="J4" s="288" t="s">
        <v>250</v>
      </c>
      <c r="K4" s="289" t="b">
        <v>1</v>
      </c>
      <c r="L4" s="283"/>
      <c r="M4" s="507"/>
      <c r="N4" s="509"/>
      <c r="O4" s="511"/>
      <c r="P4" s="290" t="s">
        <v>132</v>
      </c>
      <c r="Q4" s="291" t="s">
        <v>133</v>
      </c>
      <c r="R4" s="292" t="s">
        <v>134</v>
      </c>
      <c r="S4" s="293" t="s">
        <v>134</v>
      </c>
      <c r="T4" s="283"/>
      <c r="U4" s="499"/>
      <c r="V4" s="501"/>
      <c r="X4" s="294" t="s">
        <v>243</v>
      </c>
    </row>
    <row r="5" spans="1:24" x14ac:dyDescent="0.35">
      <c r="A5" s="295"/>
      <c r="B5" s="296">
        <v>1</v>
      </c>
      <c r="C5" s="297"/>
      <c r="D5" s="298"/>
      <c r="E5" s="299"/>
      <c r="F5" s="300" t="str">
        <f>IF(E5="East", (C5+D5), (IF(E5="West", (C5-D5),(""))))</f>
        <v/>
      </c>
      <c r="G5" s="301" t="str">
        <f>IF(F5&lt;1000, (MOD(F5,360)),(""))</f>
        <v/>
      </c>
      <c r="H5" s="298"/>
      <c r="I5" s="299"/>
      <c r="J5" s="300" t="str">
        <f>IF(I5="East", (G5+H5), (IF(I5="West", (G5-H5),(""))))</f>
        <v/>
      </c>
      <c r="K5" s="301" t="str">
        <f>IF(J5&lt;1000, (MOD(J5,360)),(""))</f>
        <v/>
      </c>
      <c r="L5" s="295"/>
      <c r="M5" s="302">
        <v>4.5</v>
      </c>
      <c r="N5" s="303"/>
      <c r="O5" s="304">
        <f>(N5)</f>
        <v>0</v>
      </c>
      <c r="P5" s="305">
        <f>(N5/M5)</f>
        <v>0</v>
      </c>
      <c r="Q5" s="113">
        <f>(P5*60)</f>
        <v>0</v>
      </c>
      <c r="R5" s="72">
        <f>(Q5/1440)</f>
        <v>0</v>
      </c>
      <c r="S5" s="306">
        <f>(R5)</f>
        <v>0</v>
      </c>
      <c r="T5" s="295"/>
      <c r="U5" s="307">
        <f>(P5*$U$2)</f>
        <v>0</v>
      </c>
      <c r="V5" s="308">
        <f>(U5)</f>
        <v>0</v>
      </c>
      <c r="W5" s="179"/>
      <c r="X5" s="309" t="s">
        <v>244</v>
      </c>
    </row>
    <row r="6" spans="1:24" ht="15" thickBot="1" x14ac:dyDescent="0.4">
      <c r="A6" s="295"/>
      <c r="B6" s="310">
        <v>2</v>
      </c>
      <c r="C6" s="311"/>
      <c r="D6" s="312"/>
      <c r="E6" s="313"/>
      <c r="F6" s="314" t="str">
        <f t="shared" ref="F6:F44" si="0">IF(E6="East", (C6+D6), (IF(E6="West", (C6-D6),(""))))</f>
        <v/>
      </c>
      <c r="G6" s="315" t="str">
        <f t="shared" ref="G6:G44" si="1">IF(F6&lt;1000, (MOD(F6,360)),(""))</f>
        <v/>
      </c>
      <c r="H6" s="312"/>
      <c r="I6" s="313"/>
      <c r="J6" s="314" t="str">
        <f t="shared" ref="J6:J44" si="2">IF(I6="East", (G6+H6), (IF(I6="West", (G6-H6),(""))))</f>
        <v/>
      </c>
      <c r="K6" s="315" t="str">
        <f t="shared" ref="K6:K44" si="3">IF(J6&lt;1000, (MOD(J6,360)),(""))</f>
        <v/>
      </c>
      <c r="L6" s="295"/>
      <c r="M6" s="316">
        <f>(M5)</f>
        <v>4.5</v>
      </c>
      <c r="N6" s="317"/>
      <c r="O6" s="318">
        <f>(O5+N6)</f>
        <v>0</v>
      </c>
      <c r="P6" s="319">
        <f t="shared" ref="P6:P34" si="4">(N6/M6)</f>
        <v>0</v>
      </c>
      <c r="Q6" s="114">
        <f t="shared" ref="Q6:Q44" si="5">(P6*60)</f>
        <v>0</v>
      </c>
      <c r="R6" s="76">
        <f t="shared" ref="R6:R44" si="6">(Q6/1440)</f>
        <v>0</v>
      </c>
      <c r="S6" s="320">
        <f>S5+R6</f>
        <v>0</v>
      </c>
      <c r="T6" s="295"/>
      <c r="U6" s="321">
        <f>(P6*$U$2)</f>
        <v>0</v>
      </c>
      <c r="V6" s="322">
        <f>(V5+U6)</f>
        <v>0</v>
      </c>
      <c r="W6" s="179"/>
      <c r="X6" s="323" t="s">
        <v>245</v>
      </c>
    </row>
    <row r="7" spans="1:24" ht="15" thickBot="1" x14ac:dyDescent="0.4">
      <c r="A7" s="295"/>
      <c r="B7" s="310">
        <v>3</v>
      </c>
      <c r="C7" s="311"/>
      <c r="D7" s="312"/>
      <c r="E7" s="313"/>
      <c r="F7" s="314" t="str">
        <f t="shared" si="0"/>
        <v/>
      </c>
      <c r="G7" s="315" t="str">
        <f t="shared" si="1"/>
        <v/>
      </c>
      <c r="H7" s="312"/>
      <c r="I7" s="313"/>
      <c r="J7" s="314" t="str">
        <f t="shared" si="2"/>
        <v/>
      </c>
      <c r="K7" s="315" t="str">
        <f t="shared" si="3"/>
        <v/>
      </c>
      <c r="L7" s="295"/>
      <c r="M7" s="316">
        <f t="shared" ref="M7:M44" si="7">(M6)</f>
        <v>4.5</v>
      </c>
      <c r="N7" s="317"/>
      <c r="O7" s="318">
        <f t="shared" ref="O7:O44" si="8">(O6+N7)</f>
        <v>0</v>
      </c>
      <c r="P7" s="319">
        <f t="shared" si="4"/>
        <v>0</v>
      </c>
      <c r="Q7" s="114">
        <f t="shared" si="5"/>
        <v>0</v>
      </c>
      <c r="R7" s="76">
        <f t="shared" si="6"/>
        <v>0</v>
      </c>
      <c r="S7" s="320">
        <f t="shared" ref="S7:S44" si="9">S6+R7</f>
        <v>0</v>
      </c>
      <c r="T7" s="295"/>
      <c r="U7" s="321">
        <f t="shared" ref="U7:U44" si="10">(P7*$U$2)</f>
        <v>0</v>
      </c>
      <c r="V7" s="322">
        <f t="shared" ref="V7:V44" si="11">(V6+U7)</f>
        <v>0</v>
      </c>
      <c r="W7" s="179"/>
    </row>
    <row r="8" spans="1:24" ht="15" thickBot="1" x14ac:dyDescent="0.4">
      <c r="A8" s="295"/>
      <c r="B8" s="310">
        <v>4</v>
      </c>
      <c r="C8" s="311"/>
      <c r="D8" s="312"/>
      <c r="E8" s="313"/>
      <c r="F8" s="314" t="str">
        <f t="shared" si="0"/>
        <v/>
      </c>
      <c r="G8" s="315" t="str">
        <f t="shared" si="1"/>
        <v/>
      </c>
      <c r="H8" s="312"/>
      <c r="I8" s="313"/>
      <c r="J8" s="314" t="str">
        <f t="shared" si="2"/>
        <v/>
      </c>
      <c r="K8" s="315" t="str">
        <f t="shared" si="3"/>
        <v/>
      </c>
      <c r="L8" s="295"/>
      <c r="M8" s="316">
        <f t="shared" si="7"/>
        <v>4.5</v>
      </c>
      <c r="N8" s="317"/>
      <c r="O8" s="318">
        <f t="shared" si="8"/>
        <v>0</v>
      </c>
      <c r="P8" s="319">
        <f t="shared" si="4"/>
        <v>0</v>
      </c>
      <c r="Q8" s="114">
        <f t="shared" si="5"/>
        <v>0</v>
      </c>
      <c r="R8" s="76">
        <f t="shared" si="6"/>
        <v>0</v>
      </c>
      <c r="S8" s="320">
        <f t="shared" si="9"/>
        <v>0</v>
      </c>
      <c r="T8" s="295"/>
      <c r="U8" s="321">
        <f t="shared" si="10"/>
        <v>0</v>
      </c>
      <c r="V8" s="322">
        <f t="shared" si="11"/>
        <v>0</v>
      </c>
      <c r="W8" s="179"/>
      <c r="X8" s="324" t="s">
        <v>247</v>
      </c>
    </row>
    <row r="9" spans="1:24" x14ac:dyDescent="0.35">
      <c r="A9" s="295"/>
      <c r="B9" s="310">
        <v>5</v>
      </c>
      <c r="C9" s="311"/>
      <c r="D9" s="312"/>
      <c r="E9" s="313"/>
      <c r="F9" s="314" t="str">
        <f t="shared" si="0"/>
        <v/>
      </c>
      <c r="G9" s="315" t="str">
        <f t="shared" si="1"/>
        <v/>
      </c>
      <c r="H9" s="312"/>
      <c r="I9" s="313"/>
      <c r="J9" s="314" t="str">
        <f t="shared" si="2"/>
        <v/>
      </c>
      <c r="K9" s="315" t="str">
        <f t="shared" si="3"/>
        <v/>
      </c>
      <c r="L9" s="295"/>
      <c r="M9" s="316">
        <f t="shared" si="7"/>
        <v>4.5</v>
      </c>
      <c r="N9" s="317"/>
      <c r="O9" s="318">
        <f t="shared" si="8"/>
        <v>0</v>
      </c>
      <c r="P9" s="319">
        <f t="shared" si="4"/>
        <v>0</v>
      </c>
      <c r="Q9" s="114">
        <f t="shared" si="5"/>
        <v>0</v>
      </c>
      <c r="R9" s="76">
        <f t="shared" si="6"/>
        <v>0</v>
      </c>
      <c r="S9" s="320">
        <f t="shared" si="9"/>
        <v>0</v>
      </c>
      <c r="T9" s="295"/>
      <c r="U9" s="321">
        <f t="shared" si="10"/>
        <v>0</v>
      </c>
      <c r="V9" s="322">
        <f t="shared" si="11"/>
        <v>0</v>
      </c>
      <c r="W9" s="179"/>
    </row>
    <row r="10" spans="1:24" x14ac:dyDescent="0.35">
      <c r="A10" s="295"/>
      <c r="B10" s="310">
        <v>6</v>
      </c>
      <c r="C10" s="311"/>
      <c r="D10" s="312"/>
      <c r="E10" s="313"/>
      <c r="F10" s="314" t="str">
        <f t="shared" si="0"/>
        <v/>
      </c>
      <c r="G10" s="315" t="str">
        <f t="shared" si="1"/>
        <v/>
      </c>
      <c r="H10" s="312"/>
      <c r="I10" s="313"/>
      <c r="J10" s="314" t="str">
        <f t="shared" si="2"/>
        <v/>
      </c>
      <c r="K10" s="315" t="str">
        <f t="shared" si="3"/>
        <v/>
      </c>
      <c r="L10" s="295"/>
      <c r="M10" s="316">
        <f t="shared" si="7"/>
        <v>4.5</v>
      </c>
      <c r="N10" s="317"/>
      <c r="O10" s="318">
        <f t="shared" si="8"/>
        <v>0</v>
      </c>
      <c r="P10" s="319">
        <f t="shared" si="4"/>
        <v>0</v>
      </c>
      <c r="Q10" s="114">
        <f t="shared" si="5"/>
        <v>0</v>
      </c>
      <c r="R10" s="76">
        <f t="shared" si="6"/>
        <v>0</v>
      </c>
      <c r="S10" s="320">
        <f t="shared" si="9"/>
        <v>0</v>
      </c>
      <c r="T10" s="295"/>
      <c r="U10" s="321">
        <f t="shared" si="10"/>
        <v>0</v>
      </c>
      <c r="V10" s="322">
        <f t="shared" si="11"/>
        <v>0</v>
      </c>
      <c r="W10" s="179"/>
      <c r="X10"/>
    </row>
    <row r="11" spans="1:24" x14ac:dyDescent="0.35">
      <c r="A11" s="295"/>
      <c r="B11" s="310">
        <v>7</v>
      </c>
      <c r="C11" s="311"/>
      <c r="D11" s="312"/>
      <c r="E11" s="313"/>
      <c r="F11" s="314" t="str">
        <f t="shared" si="0"/>
        <v/>
      </c>
      <c r="G11" s="315" t="str">
        <f t="shared" si="1"/>
        <v/>
      </c>
      <c r="H11" s="312"/>
      <c r="I11" s="313"/>
      <c r="J11" s="314" t="str">
        <f t="shared" si="2"/>
        <v/>
      </c>
      <c r="K11" s="315" t="str">
        <f t="shared" si="3"/>
        <v/>
      </c>
      <c r="L11" s="295"/>
      <c r="M11" s="316">
        <f t="shared" si="7"/>
        <v>4.5</v>
      </c>
      <c r="N11" s="317"/>
      <c r="O11" s="318">
        <f t="shared" si="8"/>
        <v>0</v>
      </c>
      <c r="P11" s="319">
        <f t="shared" si="4"/>
        <v>0</v>
      </c>
      <c r="Q11" s="114">
        <f t="shared" si="5"/>
        <v>0</v>
      </c>
      <c r="R11" s="76">
        <f t="shared" si="6"/>
        <v>0</v>
      </c>
      <c r="S11" s="320">
        <f t="shared" si="9"/>
        <v>0</v>
      </c>
      <c r="T11" s="295"/>
      <c r="U11" s="321">
        <f t="shared" si="10"/>
        <v>0</v>
      </c>
      <c r="V11" s="322">
        <f t="shared" si="11"/>
        <v>0</v>
      </c>
      <c r="W11" s="179"/>
      <c r="X11"/>
    </row>
    <row r="12" spans="1:24" ht="15" thickBot="1" x14ac:dyDescent="0.4">
      <c r="A12" s="325"/>
      <c r="B12" s="326">
        <v>8</v>
      </c>
      <c r="C12" s="327"/>
      <c r="D12" s="328"/>
      <c r="E12" s="329"/>
      <c r="F12" s="330" t="str">
        <f t="shared" si="0"/>
        <v/>
      </c>
      <c r="G12" s="331" t="str">
        <f t="shared" si="1"/>
        <v/>
      </c>
      <c r="H12" s="328"/>
      <c r="I12" s="329"/>
      <c r="J12" s="330" t="str">
        <f t="shared" si="2"/>
        <v/>
      </c>
      <c r="K12" s="331" t="str">
        <f t="shared" si="3"/>
        <v/>
      </c>
      <c r="L12" s="325"/>
      <c r="M12" s="332">
        <f t="shared" si="7"/>
        <v>4.5</v>
      </c>
      <c r="N12" s="333"/>
      <c r="O12" s="334">
        <f t="shared" si="8"/>
        <v>0</v>
      </c>
      <c r="P12" s="335">
        <f t="shared" si="4"/>
        <v>0</v>
      </c>
      <c r="Q12" s="336">
        <f t="shared" si="5"/>
        <v>0</v>
      </c>
      <c r="R12" s="337">
        <f t="shared" si="6"/>
        <v>0</v>
      </c>
      <c r="S12" s="338">
        <f t="shared" si="9"/>
        <v>0</v>
      </c>
      <c r="T12" s="295"/>
      <c r="U12" s="339">
        <f t="shared" si="10"/>
        <v>0</v>
      </c>
      <c r="V12" s="340">
        <f t="shared" si="11"/>
        <v>0</v>
      </c>
      <c r="W12" s="179"/>
    </row>
    <row r="13" spans="1:24" ht="15" thickTop="1" x14ac:dyDescent="0.35">
      <c r="A13" s="295"/>
      <c r="B13" s="341">
        <v>9</v>
      </c>
      <c r="C13" s="342"/>
      <c r="D13" s="343"/>
      <c r="E13" s="344"/>
      <c r="F13" s="345" t="str">
        <f t="shared" si="0"/>
        <v/>
      </c>
      <c r="G13" s="346" t="str">
        <f t="shared" si="1"/>
        <v/>
      </c>
      <c r="H13" s="343"/>
      <c r="I13" s="344"/>
      <c r="J13" s="345" t="str">
        <f t="shared" si="2"/>
        <v/>
      </c>
      <c r="K13" s="346" t="str">
        <f t="shared" si="3"/>
        <v/>
      </c>
      <c r="L13" s="295"/>
      <c r="M13" s="347">
        <f t="shared" si="7"/>
        <v>4.5</v>
      </c>
      <c r="N13" s="348"/>
      <c r="O13" s="349">
        <f t="shared" si="8"/>
        <v>0</v>
      </c>
      <c r="P13" s="350">
        <f t="shared" si="4"/>
        <v>0</v>
      </c>
      <c r="Q13" s="351">
        <f t="shared" si="5"/>
        <v>0</v>
      </c>
      <c r="R13" s="352">
        <f t="shared" si="6"/>
        <v>0</v>
      </c>
      <c r="S13" s="353">
        <f t="shared" si="9"/>
        <v>0</v>
      </c>
      <c r="T13" s="295"/>
      <c r="U13" s="354">
        <f t="shared" si="10"/>
        <v>0</v>
      </c>
      <c r="V13" s="355">
        <f t="shared" si="11"/>
        <v>0</v>
      </c>
      <c r="W13" s="179"/>
    </row>
    <row r="14" spans="1:24" x14ac:dyDescent="0.35">
      <c r="A14" s="295"/>
      <c r="B14" s="310">
        <v>10</v>
      </c>
      <c r="C14" s="311"/>
      <c r="D14" s="312"/>
      <c r="E14" s="313"/>
      <c r="F14" s="314" t="str">
        <f t="shared" si="0"/>
        <v/>
      </c>
      <c r="G14" s="315" t="str">
        <f t="shared" si="1"/>
        <v/>
      </c>
      <c r="H14" s="312"/>
      <c r="I14" s="313"/>
      <c r="J14" s="314" t="str">
        <f t="shared" si="2"/>
        <v/>
      </c>
      <c r="K14" s="315" t="str">
        <f t="shared" si="3"/>
        <v/>
      </c>
      <c r="L14" s="295"/>
      <c r="M14" s="316">
        <f t="shared" si="7"/>
        <v>4.5</v>
      </c>
      <c r="N14" s="317"/>
      <c r="O14" s="318">
        <f t="shared" si="8"/>
        <v>0</v>
      </c>
      <c r="P14" s="319">
        <f t="shared" si="4"/>
        <v>0</v>
      </c>
      <c r="Q14" s="114">
        <f t="shared" si="5"/>
        <v>0</v>
      </c>
      <c r="R14" s="76">
        <f t="shared" si="6"/>
        <v>0</v>
      </c>
      <c r="S14" s="320">
        <f t="shared" si="9"/>
        <v>0</v>
      </c>
      <c r="T14" s="295"/>
      <c r="U14" s="321">
        <f t="shared" si="10"/>
        <v>0</v>
      </c>
      <c r="V14" s="322">
        <f t="shared" si="11"/>
        <v>0</v>
      </c>
      <c r="W14" s="179"/>
      <c r="X14" s="84" t="s">
        <v>297</v>
      </c>
    </row>
    <row r="15" spans="1:24" x14ac:dyDescent="0.35">
      <c r="A15" s="295"/>
      <c r="B15" s="310">
        <v>11</v>
      </c>
      <c r="C15" s="311"/>
      <c r="D15" s="312"/>
      <c r="E15" s="313"/>
      <c r="F15" s="314" t="str">
        <f t="shared" si="0"/>
        <v/>
      </c>
      <c r="G15" s="315" t="str">
        <f t="shared" si="1"/>
        <v/>
      </c>
      <c r="H15" s="312"/>
      <c r="I15" s="313"/>
      <c r="J15" s="314" t="str">
        <f t="shared" si="2"/>
        <v/>
      </c>
      <c r="K15" s="315" t="str">
        <f t="shared" si="3"/>
        <v/>
      </c>
      <c r="L15" s="295"/>
      <c r="M15" s="316">
        <f t="shared" si="7"/>
        <v>4.5</v>
      </c>
      <c r="N15" s="317"/>
      <c r="O15" s="318">
        <f t="shared" si="8"/>
        <v>0</v>
      </c>
      <c r="P15" s="319">
        <f t="shared" si="4"/>
        <v>0</v>
      </c>
      <c r="Q15" s="114">
        <f t="shared" si="5"/>
        <v>0</v>
      </c>
      <c r="R15" s="76">
        <f t="shared" si="6"/>
        <v>0</v>
      </c>
      <c r="S15" s="320">
        <f t="shared" si="9"/>
        <v>0</v>
      </c>
      <c r="T15" s="295"/>
      <c r="U15" s="321">
        <f t="shared" si="10"/>
        <v>0</v>
      </c>
      <c r="V15" s="322">
        <f t="shared" si="11"/>
        <v>0</v>
      </c>
      <c r="W15" s="179"/>
    </row>
    <row r="16" spans="1:24" x14ac:dyDescent="0.35">
      <c r="A16" s="295"/>
      <c r="B16" s="310">
        <v>12</v>
      </c>
      <c r="C16" s="311"/>
      <c r="D16" s="312"/>
      <c r="E16" s="313"/>
      <c r="F16" s="314" t="str">
        <f t="shared" si="0"/>
        <v/>
      </c>
      <c r="G16" s="315" t="str">
        <f t="shared" si="1"/>
        <v/>
      </c>
      <c r="H16" s="312"/>
      <c r="I16" s="313"/>
      <c r="J16" s="314" t="str">
        <f t="shared" si="2"/>
        <v/>
      </c>
      <c r="K16" s="315" t="str">
        <f t="shared" si="3"/>
        <v/>
      </c>
      <c r="L16" s="295"/>
      <c r="M16" s="316">
        <f t="shared" si="7"/>
        <v>4.5</v>
      </c>
      <c r="N16" s="317"/>
      <c r="O16" s="318">
        <f t="shared" si="8"/>
        <v>0</v>
      </c>
      <c r="P16" s="319">
        <f t="shared" si="4"/>
        <v>0</v>
      </c>
      <c r="Q16" s="114">
        <f t="shared" si="5"/>
        <v>0</v>
      </c>
      <c r="R16" s="76">
        <f t="shared" si="6"/>
        <v>0</v>
      </c>
      <c r="S16" s="320">
        <f t="shared" si="9"/>
        <v>0</v>
      </c>
      <c r="T16" s="295"/>
      <c r="U16" s="321">
        <f t="shared" si="10"/>
        <v>0</v>
      </c>
      <c r="V16" s="322">
        <f t="shared" si="11"/>
        <v>0</v>
      </c>
      <c r="W16" s="179"/>
    </row>
    <row r="17" spans="1:23" x14ac:dyDescent="0.35">
      <c r="A17" s="295"/>
      <c r="B17" s="310">
        <v>13</v>
      </c>
      <c r="C17" s="311"/>
      <c r="D17" s="312"/>
      <c r="E17" s="313"/>
      <c r="F17" s="314" t="str">
        <f t="shared" si="0"/>
        <v/>
      </c>
      <c r="G17" s="315" t="str">
        <f t="shared" si="1"/>
        <v/>
      </c>
      <c r="H17" s="312"/>
      <c r="I17" s="313"/>
      <c r="J17" s="314" t="str">
        <f t="shared" si="2"/>
        <v/>
      </c>
      <c r="K17" s="315" t="str">
        <f t="shared" si="3"/>
        <v/>
      </c>
      <c r="L17" s="295"/>
      <c r="M17" s="316">
        <f t="shared" si="7"/>
        <v>4.5</v>
      </c>
      <c r="N17" s="317"/>
      <c r="O17" s="318">
        <f t="shared" si="8"/>
        <v>0</v>
      </c>
      <c r="P17" s="319">
        <f t="shared" si="4"/>
        <v>0</v>
      </c>
      <c r="Q17" s="114">
        <f t="shared" si="5"/>
        <v>0</v>
      </c>
      <c r="R17" s="76">
        <f t="shared" si="6"/>
        <v>0</v>
      </c>
      <c r="S17" s="320">
        <f t="shared" si="9"/>
        <v>0</v>
      </c>
      <c r="T17" s="295"/>
      <c r="U17" s="321">
        <f t="shared" si="10"/>
        <v>0</v>
      </c>
      <c r="V17" s="322">
        <f t="shared" si="11"/>
        <v>0</v>
      </c>
      <c r="W17" s="179"/>
    </row>
    <row r="18" spans="1:23" x14ac:dyDescent="0.35">
      <c r="A18" s="295"/>
      <c r="B18" s="310">
        <v>14</v>
      </c>
      <c r="C18" s="311"/>
      <c r="D18" s="312"/>
      <c r="E18" s="313"/>
      <c r="F18" s="314" t="str">
        <f t="shared" si="0"/>
        <v/>
      </c>
      <c r="G18" s="315" t="str">
        <f t="shared" si="1"/>
        <v/>
      </c>
      <c r="H18" s="312"/>
      <c r="I18" s="313"/>
      <c r="J18" s="314" t="str">
        <f t="shared" si="2"/>
        <v/>
      </c>
      <c r="K18" s="315" t="str">
        <f t="shared" si="3"/>
        <v/>
      </c>
      <c r="L18" s="295"/>
      <c r="M18" s="316">
        <f t="shared" si="7"/>
        <v>4.5</v>
      </c>
      <c r="N18" s="317"/>
      <c r="O18" s="318">
        <f t="shared" si="8"/>
        <v>0</v>
      </c>
      <c r="P18" s="319">
        <f t="shared" si="4"/>
        <v>0</v>
      </c>
      <c r="Q18" s="114">
        <f t="shared" si="5"/>
        <v>0</v>
      </c>
      <c r="R18" s="76">
        <f t="shared" si="6"/>
        <v>0</v>
      </c>
      <c r="S18" s="320">
        <f t="shared" si="9"/>
        <v>0</v>
      </c>
      <c r="T18" s="295"/>
      <c r="U18" s="321">
        <f t="shared" si="10"/>
        <v>0</v>
      </c>
      <c r="V18" s="322">
        <f t="shared" si="11"/>
        <v>0</v>
      </c>
      <c r="W18" s="179"/>
    </row>
    <row r="19" spans="1:23" x14ac:dyDescent="0.35">
      <c r="A19" s="295"/>
      <c r="B19" s="310">
        <v>15</v>
      </c>
      <c r="C19" s="311"/>
      <c r="D19" s="312"/>
      <c r="E19" s="313"/>
      <c r="F19" s="314" t="str">
        <f t="shared" si="0"/>
        <v/>
      </c>
      <c r="G19" s="315" t="str">
        <f t="shared" si="1"/>
        <v/>
      </c>
      <c r="H19" s="312"/>
      <c r="I19" s="313"/>
      <c r="J19" s="314" t="str">
        <f t="shared" si="2"/>
        <v/>
      </c>
      <c r="K19" s="315" t="str">
        <f t="shared" si="3"/>
        <v/>
      </c>
      <c r="L19" s="295"/>
      <c r="M19" s="316">
        <f t="shared" si="7"/>
        <v>4.5</v>
      </c>
      <c r="N19" s="317"/>
      <c r="O19" s="318">
        <f t="shared" si="8"/>
        <v>0</v>
      </c>
      <c r="P19" s="319">
        <f t="shared" si="4"/>
        <v>0</v>
      </c>
      <c r="Q19" s="114">
        <f t="shared" si="5"/>
        <v>0</v>
      </c>
      <c r="R19" s="76">
        <f t="shared" si="6"/>
        <v>0</v>
      </c>
      <c r="S19" s="320">
        <f t="shared" si="9"/>
        <v>0</v>
      </c>
      <c r="T19" s="295"/>
      <c r="U19" s="321">
        <f t="shared" si="10"/>
        <v>0</v>
      </c>
      <c r="V19" s="322">
        <f t="shared" si="11"/>
        <v>0</v>
      </c>
      <c r="W19" s="179"/>
    </row>
    <row r="20" spans="1:23" ht="15" thickBot="1" x14ac:dyDescent="0.4">
      <c r="A20" s="325"/>
      <c r="B20" s="326">
        <v>16</v>
      </c>
      <c r="C20" s="327"/>
      <c r="D20" s="328"/>
      <c r="E20" s="329"/>
      <c r="F20" s="330" t="str">
        <f t="shared" si="0"/>
        <v/>
      </c>
      <c r="G20" s="331" t="str">
        <f t="shared" si="1"/>
        <v/>
      </c>
      <c r="H20" s="328"/>
      <c r="I20" s="329"/>
      <c r="J20" s="330" t="str">
        <f t="shared" si="2"/>
        <v/>
      </c>
      <c r="K20" s="331" t="str">
        <f t="shared" si="3"/>
        <v/>
      </c>
      <c r="L20" s="325"/>
      <c r="M20" s="332">
        <f t="shared" si="7"/>
        <v>4.5</v>
      </c>
      <c r="N20" s="333"/>
      <c r="O20" s="334">
        <f t="shared" si="8"/>
        <v>0</v>
      </c>
      <c r="P20" s="335">
        <f t="shared" si="4"/>
        <v>0</v>
      </c>
      <c r="Q20" s="336">
        <f t="shared" si="5"/>
        <v>0</v>
      </c>
      <c r="R20" s="337">
        <f t="shared" si="6"/>
        <v>0</v>
      </c>
      <c r="S20" s="338">
        <f t="shared" si="9"/>
        <v>0</v>
      </c>
      <c r="T20" s="295"/>
      <c r="U20" s="356">
        <f t="shared" si="10"/>
        <v>0</v>
      </c>
      <c r="V20" s="357">
        <f t="shared" si="11"/>
        <v>0</v>
      </c>
      <c r="W20" s="179"/>
    </row>
    <row r="21" spans="1:23" ht="15" thickTop="1" x14ac:dyDescent="0.35">
      <c r="A21" s="295"/>
      <c r="B21" s="341">
        <v>17</v>
      </c>
      <c r="C21" s="342"/>
      <c r="D21" s="343"/>
      <c r="E21" s="344"/>
      <c r="F21" s="345" t="str">
        <f t="shared" si="0"/>
        <v/>
      </c>
      <c r="G21" s="346" t="str">
        <f t="shared" si="1"/>
        <v/>
      </c>
      <c r="H21" s="343"/>
      <c r="I21" s="344"/>
      <c r="J21" s="345" t="str">
        <f t="shared" si="2"/>
        <v/>
      </c>
      <c r="K21" s="346" t="str">
        <f t="shared" si="3"/>
        <v/>
      </c>
      <c r="L21" s="295"/>
      <c r="M21" s="347">
        <f t="shared" si="7"/>
        <v>4.5</v>
      </c>
      <c r="N21" s="348"/>
      <c r="O21" s="349">
        <f t="shared" si="8"/>
        <v>0</v>
      </c>
      <c r="P21" s="350">
        <f t="shared" si="4"/>
        <v>0</v>
      </c>
      <c r="Q21" s="351">
        <f t="shared" si="5"/>
        <v>0</v>
      </c>
      <c r="R21" s="352">
        <f t="shared" si="6"/>
        <v>0</v>
      </c>
      <c r="S21" s="353">
        <f t="shared" si="9"/>
        <v>0</v>
      </c>
      <c r="T21" s="295"/>
      <c r="U21" s="307">
        <f t="shared" si="10"/>
        <v>0</v>
      </c>
      <c r="V21" s="308">
        <f t="shared" si="11"/>
        <v>0</v>
      </c>
      <c r="W21" s="179"/>
    </row>
    <row r="22" spans="1:23" x14ac:dyDescent="0.35">
      <c r="A22" s="295"/>
      <c r="B22" s="310">
        <v>18</v>
      </c>
      <c r="C22" s="311"/>
      <c r="D22" s="312"/>
      <c r="E22" s="313"/>
      <c r="F22" s="314" t="str">
        <f t="shared" si="0"/>
        <v/>
      </c>
      <c r="G22" s="315" t="str">
        <f t="shared" si="1"/>
        <v/>
      </c>
      <c r="H22" s="312"/>
      <c r="I22" s="313"/>
      <c r="J22" s="314" t="str">
        <f t="shared" si="2"/>
        <v/>
      </c>
      <c r="K22" s="315" t="str">
        <f t="shared" si="3"/>
        <v/>
      </c>
      <c r="L22" s="295"/>
      <c r="M22" s="316">
        <f t="shared" si="7"/>
        <v>4.5</v>
      </c>
      <c r="N22" s="317"/>
      <c r="O22" s="318">
        <f t="shared" si="8"/>
        <v>0</v>
      </c>
      <c r="P22" s="319">
        <f t="shared" si="4"/>
        <v>0</v>
      </c>
      <c r="Q22" s="114">
        <f t="shared" si="5"/>
        <v>0</v>
      </c>
      <c r="R22" s="76">
        <f t="shared" si="6"/>
        <v>0</v>
      </c>
      <c r="S22" s="320">
        <f t="shared" si="9"/>
        <v>0</v>
      </c>
      <c r="T22" s="295"/>
      <c r="U22" s="321">
        <f t="shared" si="10"/>
        <v>0</v>
      </c>
      <c r="V22" s="322">
        <f t="shared" si="11"/>
        <v>0</v>
      </c>
      <c r="W22" s="179"/>
    </row>
    <row r="23" spans="1:23" x14ac:dyDescent="0.35">
      <c r="A23" s="295"/>
      <c r="B23" s="310">
        <v>19</v>
      </c>
      <c r="C23" s="311"/>
      <c r="D23" s="312"/>
      <c r="E23" s="313"/>
      <c r="F23" s="314" t="str">
        <f t="shared" si="0"/>
        <v/>
      </c>
      <c r="G23" s="315" t="str">
        <f t="shared" si="1"/>
        <v/>
      </c>
      <c r="H23" s="312"/>
      <c r="I23" s="313"/>
      <c r="J23" s="314" t="str">
        <f t="shared" si="2"/>
        <v/>
      </c>
      <c r="K23" s="315" t="str">
        <f t="shared" si="3"/>
        <v/>
      </c>
      <c r="L23" s="295"/>
      <c r="M23" s="316">
        <f t="shared" si="7"/>
        <v>4.5</v>
      </c>
      <c r="N23" s="317"/>
      <c r="O23" s="318">
        <f t="shared" si="8"/>
        <v>0</v>
      </c>
      <c r="P23" s="319">
        <f t="shared" si="4"/>
        <v>0</v>
      </c>
      <c r="Q23" s="114">
        <f t="shared" si="5"/>
        <v>0</v>
      </c>
      <c r="R23" s="76">
        <f t="shared" si="6"/>
        <v>0</v>
      </c>
      <c r="S23" s="320">
        <f t="shared" si="9"/>
        <v>0</v>
      </c>
      <c r="T23" s="295"/>
      <c r="U23" s="321">
        <f t="shared" si="10"/>
        <v>0</v>
      </c>
      <c r="V23" s="322">
        <f t="shared" si="11"/>
        <v>0</v>
      </c>
      <c r="W23" s="179"/>
    </row>
    <row r="24" spans="1:23" x14ac:dyDescent="0.35">
      <c r="A24" s="295"/>
      <c r="B24" s="310">
        <v>20</v>
      </c>
      <c r="C24" s="311"/>
      <c r="D24" s="312"/>
      <c r="E24" s="313"/>
      <c r="F24" s="314" t="str">
        <f t="shared" si="0"/>
        <v/>
      </c>
      <c r="G24" s="315" t="str">
        <f t="shared" si="1"/>
        <v/>
      </c>
      <c r="H24" s="312"/>
      <c r="I24" s="313"/>
      <c r="J24" s="314" t="str">
        <f t="shared" si="2"/>
        <v/>
      </c>
      <c r="K24" s="315" t="str">
        <f t="shared" si="3"/>
        <v/>
      </c>
      <c r="L24" s="295"/>
      <c r="M24" s="316">
        <f t="shared" si="7"/>
        <v>4.5</v>
      </c>
      <c r="N24" s="317"/>
      <c r="O24" s="318">
        <f t="shared" si="8"/>
        <v>0</v>
      </c>
      <c r="P24" s="319">
        <f t="shared" si="4"/>
        <v>0</v>
      </c>
      <c r="Q24" s="114">
        <f t="shared" si="5"/>
        <v>0</v>
      </c>
      <c r="R24" s="76">
        <f t="shared" si="6"/>
        <v>0</v>
      </c>
      <c r="S24" s="320">
        <f t="shared" si="9"/>
        <v>0</v>
      </c>
      <c r="T24" s="295"/>
      <c r="U24" s="321">
        <f t="shared" si="10"/>
        <v>0</v>
      </c>
      <c r="V24" s="322">
        <f t="shared" si="11"/>
        <v>0</v>
      </c>
      <c r="W24" s="179"/>
    </row>
    <row r="25" spans="1:23" x14ac:dyDescent="0.35">
      <c r="A25" s="295"/>
      <c r="B25" s="310">
        <v>21</v>
      </c>
      <c r="C25" s="311"/>
      <c r="D25" s="312"/>
      <c r="E25" s="313"/>
      <c r="F25" s="314" t="str">
        <f t="shared" si="0"/>
        <v/>
      </c>
      <c r="G25" s="315" t="str">
        <f t="shared" si="1"/>
        <v/>
      </c>
      <c r="H25" s="312"/>
      <c r="I25" s="313"/>
      <c r="J25" s="314" t="str">
        <f t="shared" si="2"/>
        <v/>
      </c>
      <c r="K25" s="315" t="str">
        <f t="shared" si="3"/>
        <v/>
      </c>
      <c r="L25" s="295"/>
      <c r="M25" s="316">
        <f t="shared" si="7"/>
        <v>4.5</v>
      </c>
      <c r="N25" s="317"/>
      <c r="O25" s="318">
        <f t="shared" si="8"/>
        <v>0</v>
      </c>
      <c r="P25" s="319">
        <f t="shared" si="4"/>
        <v>0</v>
      </c>
      <c r="Q25" s="358">
        <f t="shared" si="5"/>
        <v>0</v>
      </c>
      <c r="R25" s="76">
        <f t="shared" si="6"/>
        <v>0</v>
      </c>
      <c r="S25" s="320">
        <f t="shared" si="9"/>
        <v>0</v>
      </c>
      <c r="T25" s="295"/>
      <c r="U25" s="321">
        <f t="shared" si="10"/>
        <v>0</v>
      </c>
      <c r="V25" s="322">
        <f t="shared" si="11"/>
        <v>0</v>
      </c>
      <c r="W25" s="179"/>
    </row>
    <row r="26" spans="1:23" x14ac:dyDescent="0.35">
      <c r="B26" s="310">
        <v>22</v>
      </c>
      <c r="C26" s="311"/>
      <c r="D26" s="312"/>
      <c r="E26" s="313"/>
      <c r="F26" s="314" t="str">
        <f t="shared" si="0"/>
        <v/>
      </c>
      <c r="G26" s="315" t="str">
        <f t="shared" si="1"/>
        <v/>
      </c>
      <c r="H26" s="312"/>
      <c r="I26" s="313"/>
      <c r="J26" s="314" t="str">
        <f t="shared" si="2"/>
        <v/>
      </c>
      <c r="K26" s="315" t="str">
        <f t="shared" si="3"/>
        <v/>
      </c>
      <c r="M26" s="316">
        <f t="shared" si="7"/>
        <v>4.5</v>
      </c>
      <c r="N26" s="317"/>
      <c r="O26" s="318">
        <f t="shared" si="8"/>
        <v>0</v>
      </c>
      <c r="P26" s="319">
        <f t="shared" si="4"/>
        <v>0</v>
      </c>
      <c r="Q26" s="114">
        <f t="shared" si="5"/>
        <v>0</v>
      </c>
      <c r="R26" s="76">
        <f t="shared" si="6"/>
        <v>0</v>
      </c>
      <c r="S26" s="320">
        <f t="shared" si="9"/>
        <v>0</v>
      </c>
      <c r="T26" s="295"/>
      <c r="U26" s="321">
        <f t="shared" si="10"/>
        <v>0</v>
      </c>
      <c r="V26" s="322">
        <f t="shared" si="11"/>
        <v>0</v>
      </c>
      <c r="W26" s="179"/>
    </row>
    <row r="27" spans="1:23" x14ac:dyDescent="0.35">
      <c r="B27" s="310">
        <v>23</v>
      </c>
      <c r="C27" s="311"/>
      <c r="D27" s="312"/>
      <c r="E27" s="313"/>
      <c r="F27" s="314" t="str">
        <f t="shared" si="0"/>
        <v/>
      </c>
      <c r="G27" s="315" t="str">
        <f t="shared" si="1"/>
        <v/>
      </c>
      <c r="H27" s="312"/>
      <c r="I27" s="313"/>
      <c r="J27" s="314" t="str">
        <f t="shared" si="2"/>
        <v/>
      </c>
      <c r="K27" s="315" t="str">
        <f t="shared" si="3"/>
        <v/>
      </c>
      <c r="M27" s="316">
        <f t="shared" si="7"/>
        <v>4.5</v>
      </c>
      <c r="N27" s="317"/>
      <c r="O27" s="318">
        <f t="shared" si="8"/>
        <v>0</v>
      </c>
      <c r="P27" s="319">
        <f t="shared" si="4"/>
        <v>0</v>
      </c>
      <c r="Q27" s="114">
        <f t="shared" si="5"/>
        <v>0</v>
      </c>
      <c r="R27" s="76">
        <f t="shared" si="6"/>
        <v>0</v>
      </c>
      <c r="S27" s="320">
        <f t="shared" si="9"/>
        <v>0</v>
      </c>
      <c r="U27" s="321">
        <f t="shared" si="10"/>
        <v>0</v>
      </c>
      <c r="V27" s="322">
        <f t="shared" si="11"/>
        <v>0</v>
      </c>
    </row>
    <row r="28" spans="1:23" ht="15" thickBot="1" x14ac:dyDescent="0.4">
      <c r="A28" s="360"/>
      <c r="B28" s="326">
        <v>24</v>
      </c>
      <c r="C28" s="327"/>
      <c r="D28" s="328"/>
      <c r="E28" s="329"/>
      <c r="F28" s="330" t="str">
        <f t="shared" si="0"/>
        <v/>
      </c>
      <c r="G28" s="331" t="str">
        <f t="shared" si="1"/>
        <v/>
      </c>
      <c r="H28" s="328"/>
      <c r="I28" s="329"/>
      <c r="J28" s="330" t="str">
        <f t="shared" si="2"/>
        <v/>
      </c>
      <c r="K28" s="331" t="str">
        <f t="shared" si="3"/>
        <v/>
      </c>
      <c r="L28" s="360"/>
      <c r="M28" s="332">
        <f t="shared" si="7"/>
        <v>4.5</v>
      </c>
      <c r="N28" s="333"/>
      <c r="O28" s="334">
        <f t="shared" si="8"/>
        <v>0</v>
      </c>
      <c r="P28" s="335">
        <f t="shared" si="4"/>
        <v>0</v>
      </c>
      <c r="Q28" s="336">
        <f t="shared" si="5"/>
        <v>0</v>
      </c>
      <c r="R28" s="337">
        <f t="shared" si="6"/>
        <v>0</v>
      </c>
      <c r="S28" s="338">
        <f t="shared" si="9"/>
        <v>0</v>
      </c>
      <c r="U28" s="339">
        <f t="shared" si="10"/>
        <v>0</v>
      </c>
      <c r="V28" s="340">
        <f t="shared" si="11"/>
        <v>0</v>
      </c>
    </row>
    <row r="29" spans="1:23" ht="15" thickTop="1" x14ac:dyDescent="0.35">
      <c r="B29" s="341">
        <v>25</v>
      </c>
      <c r="C29" s="342"/>
      <c r="D29" s="343"/>
      <c r="E29" s="344"/>
      <c r="F29" s="345" t="str">
        <f t="shared" si="0"/>
        <v/>
      </c>
      <c r="G29" s="346" t="str">
        <f t="shared" si="1"/>
        <v/>
      </c>
      <c r="H29" s="343"/>
      <c r="I29" s="344"/>
      <c r="J29" s="345" t="str">
        <f t="shared" si="2"/>
        <v/>
      </c>
      <c r="K29" s="346" t="str">
        <f t="shared" si="3"/>
        <v/>
      </c>
      <c r="M29" s="347">
        <f t="shared" si="7"/>
        <v>4.5</v>
      </c>
      <c r="N29" s="348"/>
      <c r="O29" s="349">
        <f t="shared" si="8"/>
        <v>0</v>
      </c>
      <c r="P29" s="350">
        <f t="shared" si="4"/>
        <v>0</v>
      </c>
      <c r="Q29" s="351">
        <f t="shared" si="5"/>
        <v>0</v>
      </c>
      <c r="R29" s="352">
        <f t="shared" si="6"/>
        <v>0</v>
      </c>
      <c r="S29" s="353">
        <f t="shared" si="9"/>
        <v>0</v>
      </c>
      <c r="U29" s="354">
        <f t="shared" si="10"/>
        <v>0</v>
      </c>
      <c r="V29" s="355">
        <f t="shared" si="11"/>
        <v>0</v>
      </c>
    </row>
    <row r="30" spans="1:23" x14ac:dyDescent="0.35">
      <c r="B30" s="310">
        <v>26</v>
      </c>
      <c r="C30" s="311"/>
      <c r="D30" s="312"/>
      <c r="E30" s="313"/>
      <c r="F30" s="314" t="str">
        <f t="shared" si="0"/>
        <v/>
      </c>
      <c r="G30" s="315" t="str">
        <f t="shared" si="1"/>
        <v/>
      </c>
      <c r="H30" s="312"/>
      <c r="I30" s="313"/>
      <c r="J30" s="314" t="str">
        <f t="shared" si="2"/>
        <v/>
      </c>
      <c r="K30" s="315" t="str">
        <f t="shared" si="3"/>
        <v/>
      </c>
      <c r="M30" s="316">
        <f t="shared" si="7"/>
        <v>4.5</v>
      </c>
      <c r="N30" s="317"/>
      <c r="O30" s="318">
        <f t="shared" si="8"/>
        <v>0</v>
      </c>
      <c r="P30" s="319">
        <f t="shared" si="4"/>
        <v>0</v>
      </c>
      <c r="Q30" s="114">
        <f t="shared" si="5"/>
        <v>0</v>
      </c>
      <c r="R30" s="76">
        <f t="shared" si="6"/>
        <v>0</v>
      </c>
      <c r="S30" s="320">
        <f t="shared" si="9"/>
        <v>0</v>
      </c>
      <c r="U30" s="321">
        <f t="shared" si="10"/>
        <v>0</v>
      </c>
      <c r="V30" s="322">
        <f t="shared" si="11"/>
        <v>0</v>
      </c>
    </row>
    <row r="31" spans="1:23" x14ac:dyDescent="0.35">
      <c r="B31" s="310">
        <v>27</v>
      </c>
      <c r="C31" s="311"/>
      <c r="D31" s="312"/>
      <c r="E31" s="313"/>
      <c r="F31" s="314" t="str">
        <f t="shared" si="0"/>
        <v/>
      </c>
      <c r="G31" s="315" t="str">
        <f t="shared" si="1"/>
        <v/>
      </c>
      <c r="H31" s="312"/>
      <c r="I31" s="313"/>
      <c r="J31" s="314" t="str">
        <f t="shared" si="2"/>
        <v/>
      </c>
      <c r="K31" s="315" t="str">
        <f t="shared" si="3"/>
        <v/>
      </c>
      <c r="M31" s="316">
        <f t="shared" si="7"/>
        <v>4.5</v>
      </c>
      <c r="N31" s="317"/>
      <c r="O31" s="318">
        <f t="shared" si="8"/>
        <v>0</v>
      </c>
      <c r="P31" s="319">
        <f t="shared" si="4"/>
        <v>0</v>
      </c>
      <c r="Q31" s="114">
        <f t="shared" si="5"/>
        <v>0</v>
      </c>
      <c r="R31" s="76">
        <f t="shared" si="6"/>
        <v>0</v>
      </c>
      <c r="S31" s="320">
        <f t="shared" si="9"/>
        <v>0</v>
      </c>
      <c r="U31" s="321">
        <f t="shared" si="10"/>
        <v>0</v>
      </c>
      <c r="V31" s="322">
        <f t="shared" si="11"/>
        <v>0</v>
      </c>
    </row>
    <row r="32" spans="1:23" x14ac:dyDescent="0.35">
      <c r="B32" s="310">
        <v>28</v>
      </c>
      <c r="C32" s="311"/>
      <c r="D32" s="312"/>
      <c r="E32" s="313"/>
      <c r="F32" s="314" t="str">
        <f t="shared" si="0"/>
        <v/>
      </c>
      <c r="G32" s="315" t="str">
        <f t="shared" si="1"/>
        <v/>
      </c>
      <c r="H32" s="312"/>
      <c r="I32" s="313"/>
      <c r="J32" s="314" t="str">
        <f t="shared" si="2"/>
        <v/>
      </c>
      <c r="K32" s="315" t="str">
        <f t="shared" si="3"/>
        <v/>
      </c>
      <c r="M32" s="316">
        <f t="shared" si="7"/>
        <v>4.5</v>
      </c>
      <c r="N32" s="317"/>
      <c r="O32" s="318">
        <f t="shared" si="8"/>
        <v>0</v>
      </c>
      <c r="P32" s="319">
        <f t="shared" si="4"/>
        <v>0</v>
      </c>
      <c r="Q32" s="114">
        <f t="shared" si="5"/>
        <v>0</v>
      </c>
      <c r="R32" s="76">
        <f t="shared" si="6"/>
        <v>0</v>
      </c>
      <c r="S32" s="320">
        <f t="shared" si="9"/>
        <v>0</v>
      </c>
      <c r="U32" s="321">
        <f t="shared" si="10"/>
        <v>0</v>
      </c>
      <c r="V32" s="322">
        <f t="shared" si="11"/>
        <v>0</v>
      </c>
    </row>
    <row r="33" spans="1:22" x14ac:dyDescent="0.35">
      <c r="B33" s="310">
        <v>29</v>
      </c>
      <c r="C33" s="311"/>
      <c r="D33" s="312"/>
      <c r="E33" s="313"/>
      <c r="F33" s="314" t="str">
        <f t="shared" si="0"/>
        <v/>
      </c>
      <c r="G33" s="315" t="str">
        <f t="shared" si="1"/>
        <v/>
      </c>
      <c r="H33" s="312"/>
      <c r="I33" s="313"/>
      <c r="J33" s="314" t="str">
        <f t="shared" si="2"/>
        <v/>
      </c>
      <c r="K33" s="315" t="str">
        <f t="shared" si="3"/>
        <v/>
      </c>
      <c r="M33" s="316">
        <f t="shared" si="7"/>
        <v>4.5</v>
      </c>
      <c r="N33" s="317"/>
      <c r="O33" s="318">
        <f t="shared" si="8"/>
        <v>0</v>
      </c>
      <c r="P33" s="319">
        <f t="shared" si="4"/>
        <v>0</v>
      </c>
      <c r="Q33" s="114">
        <f t="shared" si="5"/>
        <v>0</v>
      </c>
      <c r="R33" s="76">
        <f t="shared" si="6"/>
        <v>0</v>
      </c>
      <c r="S33" s="320">
        <f t="shared" si="9"/>
        <v>0</v>
      </c>
      <c r="U33" s="321">
        <f t="shared" si="10"/>
        <v>0</v>
      </c>
      <c r="V33" s="322">
        <f t="shared" si="11"/>
        <v>0</v>
      </c>
    </row>
    <row r="34" spans="1:22" x14ac:dyDescent="0.35">
      <c r="B34" s="310">
        <v>30</v>
      </c>
      <c r="C34" s="311"/>
      <c r="D34" s="312"/>
      <c r="E34" s="313"/>
      <c r="F34" s="314" t="str">
        <f t="shared" si="0"/>
        <v/>
      </c>
      <c r="G34" s="315" t="str">
        <f t="shared" si="1"/>
        <v/>
      </c>
      <c r="H34" s="312"/>
      <c r="I34" s="313"/>
      <c r="J34" s="314" t="str">
        <f t="shared" si="2"/>
        <v/>
      </c>
      <c r="K34" s="315" t="str">
        <f t="shared" si="3"/>
        <v/>
      </c>
      <c r="M34" s="316">
        <f t="shared" si="7"/>
        <v>4.5</v>
      </c>
      <c r="N34" s="317"/>
      <c r="O34" s="318">
        <f t="shared" si="8"/>
        <v>0</v>
      </c>
      <c r="P34" s="319">
        <f t="shared" si="4"/>
        <v>0</v>
      </c>
      <c r="Q34" s="114">
        <f t="shared" si="5"/>
        <v>0</v>
      </c>
      <c r="R34" s="76">
        <f t="shared" si="6"/>
        <v>0</v>
      </c>
      <c r="S34" s="320">
        <f t="shared" si="9"/>
        <v>0</v>
      </c>
      <c r="U34" s="321">
        <f t="shared" si="10"/>
        <v>0</v>
      </c>
      <c r="V34" s="322">
        <f t="shared" si="11"/>
        <v>0</v>
      </c>
    </row>
    <row r="35" spans="1:22" x14ac:dyDescent="0.35">
      <c r="B35" s="310">
        <v>31</v>
      </c>
      <c r="C35" s="311"/>
      <c r="D35" s="312"/>
      <c r="E35" s="313"/>
      <c r="F35" s="314" t="str">
        <f t="shared" si="0"/>
        <v/>
      </c>
      <c r="G35" s="315" t="str">
        <f t="shared" si="1"/>
        <v/>
      </c>
      <c r="H35" s="312"/>
      <c r="I35" s="313"/>
      <c r="J35" s="314" t="str">
        <f t="shared" si="2"/>
        <v/>
      </c>
      <c r="K35" s="315" t="str">
        <f t="shared" si="3"/>
        <v/>
      </c>
      <c r="M35" s="316">
        <f t="shared" si="7"/>
        <v>4.5</v>
      </c>
      <c r="N35" s="317"/>
      <c r="O35" s="318">
        <f t="shared" si="8"/>
        <v>0</v>
      </c>
      <c r="P35" s="319">
        <f>(N35/M35)</f>
        <v>0</v>
      </c>
      <c r="Q35" s="114">
        <f t="shared" si="5"/>
        <v>0</v>
      </c>
      <c r="R35" s="76">
        <f t="shared" si="6"/>
        <v>0</v>
      </c>
      <c r="S35" s="320">
        <f t="shared" si="9"/>
        <v>0</v>
      </c>
      <c r="U35" s="321">
        <f t="shared" si="10"/>
        <v>0</v>
      </c>
      <c r="V35" s="322">
        <f t="shared" si="11"/>
        <v>0</v>
      </c>
    </row>
    <row r="36" spans="1:22" ht="15" thickBot="1" x14ac:dyDescent="0.4">
      <c r="A36" s="360"/>
      <c r="B36" s="326">
        <v>32</v>
      </c>
      <c r="C36" s="327"/>
      <c r="D36" s="328"/>
      <c r="E36" s="329"/>
      <c r="F36" s="330" t="str">
        <f t="shared" si="0"/>
        <v/>
      </c>
      <c r="G36" s="331" t="str">
        <f t="shared" si="1"/>
        <v/>
      </c>
      <c r="H36" s="328"/>
      <c r="I36" s="329"/>
      <c r="J36" s="330" t="str">
        <f t="shared" si="2"/>
        <v/>
      </c>
      <c r="K36" s="331" t="str">
        <f t="shared" si="3"/>
        <v/>
      </c>
      <c r="L36" s="360"/>
      <c r="M36" s="332">
        <f t="shared" si="7"/>
        <v>4.5</v>
      </c>
      <c r="N36" s="333"/>
      <c r="O36" s="334">
        <f t="shared" si="8"/>
        <v>0</v>
      </c>
      <c r="P36" s="335">
        <f>(N36/M36)</f>
        <v>0</v>
      </c>
      <c r="Q36" s="336">
        <f t="shared" si="5"/>
        <v>0</v>
      </c>
      <c r="R36" s="337">
        <f t="shared" si="6"/>
        <v>0</v>
      </c>
      <c r="S36" s="338">
        <f t="shared" si="9"/>
        <v>0</v>
      </c>
      <c r="U36" s="356">
        <f t="shared" si="10"/>
        <v>0</v>
      </c>
      <c r="V36" s="357">
        <f t="shared" si="11"/>
        <v>0</v>
      </c>
    </row>
    <row r="37" spans="1:22" ht="15" thickTop="1" x14ac:dyDescent="0.35">
      <c r="B37" s="341">
        <v>33</v>
      </c>
      <c r="C37" s="342"/>
      <c r="D37" s="343"/>
      <c r="E37" s="344"/>
      <c r="F37" s="345" t="str">
        <f t="shared" si="0"/>
        <v/>
      </c>
      <c r="G37" s="346" t="str">
        <f t="shared" si="1"/>
        <v/>
      </c>
      <c r="H37" s="343"/>
      <c r="I37" s="344"/>
      <c r="J37" s="345" t="str">
        <f t="shared" si="2"/>
        <v/>
      </c>
      <c r="K37" s="346" t="str">
        <f t="shared" si="3"/>
        <v/>
      </c>
      <c r="M37" s="347">
        <f t="shared" si="7"/>
        <v>4.5</v>
      </c>
      <c r="N37" s="348"/>
      <c r="O37" s="349">
        <f t="shared" si="8"/>
        <v>0</v>
      </c>
      <c r="P37" s="350">
        <f t="shared" ref="P37:P42" si="12">(N37/M37)</f>
        <v>0</v>
      </c>
      <c r="Q37" s="351">
        <f t="shared" si="5"/>
        <v>0</v>
      </c>
      <c r="R37" s="352">
        <f t="shared" si="6"/>
        <v>0</v>
      </c>
      <c r="S37" s="353">
        <f t="shared" si="9"/>
        <v>0</v>
      </c>
      <c r="U37" s="307">
        <f t="shared" si="10"/>
        <v>0</v>
      </c>
      <c r="V37" s="308">
        <f t="shared" si="11"/>
        <v>0</v>
      </c>
    </row>
    <row r="38" spans="1:22" x14ac:dyDescent="0.35">
      <c r="B38" s="310">
        <v>34</v>
      </c>
      <c r="C38" s="311"/>
      <c r="D38" s="312"/>
      <c r="E38" s="313"/>
      <c r="F38" s="314" t="str">
        <f t="shared" si="0"/>
        <v/>
      </c>
      <c r="G38" s="315" t="str">
        <f t="shared" si="1"/>
        <v/>
      </c>
      <c r="H38" s="312"/>
      <c r="I38" s="313"/>
      <c r="J38" s="314" t="str">
        <f t="shared" si="2"/>
        <v/>
      </c>
      <c r="K38" s="315" t="str">
        <f t="shared" si="3"/>
        <v/>
      </c>
      <c r="M38" s="316">
        <f t="shared" si="7"/>
        <v>4.5</v>
      </c>
      <c r="N38" s="317"/>
      <c r="O38" s="318">
        <f t="shared" si="8"/>
        <v>0</v>
      </c>
      <c r="P38" s="319">
        <f t="shared" si="12"/>
        <v>0</v>
      </c>
      <c r="Q38" s="114">
        <f t="shared" si="5"/>
        <v>0</v>
      </c>
      <c r="R38" s="76">
        <f t="shared" si="6"/>
        <v>0</v>
      </c>
      <c r="S38" s="320">
        <f t="shared" si="9"/>
        <v>0</v>
      </c>
      <c r="U38" s="321">
        <f t="shared" si="10"/>
        <v>0</v>
      </c>
      <c r="V38" s="322">
        <f t="shared" si="11"/>
        <v>0</v>
      </c>
    </row>
    <row r="39" spans="1:22" x14ac:dyDescent="0.35">
      <c r="B39" s="310">
        <v>35</v>
      </c>
      <c r="C39" s="311"/>
      <c r="D39" s="312"/>
      <c r="E39" s="313"/>
      <c r="F39" s="314" t="str">
        <f t="shared" si="0"/>
        <v/>
      </c>
      <c r="G39" s="315" t="str">
        <f t="shared" si="1"/>
        <v/>
      </c>
      <c r="H39" s="312"/>
      <c r="I39" s="313"/>
      <c r="J39" s="314" t="str">
        <f t="shared" si="2"/>
        <v/>
      </c>
      <c r="K39" s="315" t="str">
        <f t="shared" si="3"/>
        <v/>
      </c>
      <c r="M39" s="316">
        <f t="shared" si="7"/>
        <v>4.5</v>
      </c>
      <c r="N39" s="317"/>
      <c r="O39" s="318">
        <f t="shared" si="8"/>
        <v>0</v>
      </c>
      <c r="P39" s="319">
        <f t="shared" si="12"/>
        <v>0</v>
      </c>
      <c r="Q39" s="114">
        <f t="shared" si="5"/>
        <v>0</v>
      </c>
      <c r="R39" s="76">
        <f t="shared" si="6"/>
        <v>0</v>
      </c>
      <c r="S39" s="320">
        <f t="shared" si="9"/>
        <v>0</v>
      </c>
      <c r="U39" s="321">
        <f t="shared" si="10"/>
        <v>0</v>
      </c>
      <c r="V39" s="322">
        <f t="shared" si="11"/>
        <v>0</v>
      </c>
    </row>
    <row r="40" spans="1:22" x14ac:dyDescent="0.35">
      <c r="B40" s="310">
        <v>36</v>
      </c>
      <c r="C40" s="311"/>
      <c r="D40" s="312"/>
      <c r="E40" s="313"/>
      <c r="F40" s="314" t="str">
        <f t="shared" si="0"/>
        <v/>
      </c>
      <c r="G40" s="315" t="str">
        <f t="shared" si="1"/>
        <v/>
      </c>
      <c r="H40" s="312"/>
      <c r="I40" s="313"/>
      <c r="J40" s="314" t="str">
        <f t="shared" si="2"/>
        <v/>
      </c>
      <c r="K40" s="315" t="str">
        <f t="shared" si="3"/>
        <v/>
      </c>
      <c r="M40" s="316">
        <f t="shared" si="7"/>
        <v>4.5</v>
      </c>
      <c r="N40" s="317"/>
      <c r="O40" s="318">
        <f t="shared" si="8"/>
        <v>0</v>
      </c>
      <c r="P40" s="319">
        <f t="shared" si="12"/>
        <v>0</v>
      </c>
      <c r="Q40" s="114">
        <f t="shared" si="5"/>
        <v>0</v>
      </c>
      <c r="R40" s="76">
        <f t="shared" si="6"/>
        <v>0</v>
      </c>
      <c r="S40" s="320">
        <f t="shared" si="9"/>
        <v>0</v>
      </c>
      <c r="U40" s="321">
        <f t="shared" si="10"/>
        <v>0</v>
      </c>
      <c r="V40" s="322">
        <f t="shared" si="11"/>
        <v>0</v>
      </c>
    </row>
    <row r="41" spans="1:22" x14ac:dyDescent="0.35">
      <c r="B41" s="310">
        <v>37</v>
      </c>
      <c r="C41" s="311"/>
      <c r="D41" s="312"/>
      <c r="E41" s="313"/>
      <c r="F41" s="314" t="str">
        <f t="shared" si="0"/>
        <v/>
      </c>
      <c r="G41" s="315" t="str">
        <f t="shared" si="1"/>
        <v/>
      </c>
      <c r="H41" s="312"/>
      <c r="I41" s="313"/>
      <c r="J41" s="314" t="str">
        <f t="shared" si="2"/>
        <v/>
      </c>
      <c r="K41" s="315" t="str">
        <f t="shared" si="3"/>
        <v/>
      </c>
      <c r="M41" s="316">
        <f t="shared" si="7"/>
        <v>4.5</v>
      </c>
      <c r="N41" s="317"/>
      <c r="O41" s="318">
        <f t="shared" si="8"/>
        <v>0</v>
      </c>
      <c r="P41" s="319">
        <f t="shared" si="12"/>
        <v>0</v>
      </c>
      <c r="Q41" s="114">
        <f t="shared" si="5"/>
        <v>0</v>
      </c>
      <c r="R41" s="76">
        <f t="shared" si="6"/>
        <v>0</v>
      </c>
      <c r="S41" s="320">
        <f t="shared" si="9"/>
        <v>0</v>
      </c>
      <c r="U41" s="321">
        <f t="shared" si="10"/>
        <v>0</v>
      </c>
      <c r="V41" s="322">
        <f t="shared" si="11"/>
        <v>0</v>
      </c>
    </row>
    <row r="42" spans="1:22" x14ac:dyDescent="0.35">
      <c r="B42" s="310">
        <v>38</v>
      </c>
      <c r="C42" s="311"/>
      <c r="D42" s="312"/>
      <c r="E42" s="313"/>
      <c r="F42" s="314" t="str">
        <f t="shared" si="0"/>
        <v/>
      </c>
      <c r="G42" s="315" t="str">
        <f t="shared" si="1"/>
        <v/>
      </c>
      <c r="H42" s="312"/>
      <c r="I42" s="313"/>
      <c r="J42" s="314" t="str">
        <f t="shared" si="2"/>
        <v/>
      </c>
      <c r="K42" s="315" t="str">
        <f t="shared" si="3"/>
        <v/>
      </c>
      <c r="M42" s="316">
        <f t="shared" si="7"/>
        <v>4.5</v>
      </c>
      <c r="N42" s="317"/>
      <c r="O42" s="318">
        <f t="shared" si="8"/>
        <v>0</v>
      </c>
      <c r="P42" s="319">
        <f t="shared" si="12"/>
        <v>0</v>
      </c>
      <c r="Q42" s="114">
        <f t="shared" si="5"/>
        <v>0</v>
      </c>
      <c r="R42" s="76">
        <f t="shared" si="6"/>
        <v>0</v>
      </c>
      <c r="S42" s="320">
        <f t="shared" si="9"/>
        <v>0</v>
      </c>
      <c r="U42" s="321">
        <f t="shared" si="10"/>
        <v>0</v>
      </c>
      <c r="V42" s="322">
        <f t="shared" si="11"/>
        <v>0</v>
      </c>
    </row>
    <row r="43" spans="1:22" x14ac:dyDescent="0.35">
      <c r="B43" s="310">
        <v>39</v>
      </c>
      <c r="C43" s="311"/>
      <c r="D43" s="312"/>
      <c r="E43" s="313"/>
      <c r="F43" s="314" t="str">
        <f t="shared" si="0"/>
        <v/>
      </c>
      <c r="G43" s="315" t="str">
        <f t="shared" si="1"/>
        <v/>
      </c>
      <c r="H43" s="312"/>
      <c r="I43" s="313"/>
      <c r="J43" s="314" t="str">
        <f t="shared" si="2"/>
        <v/>
      </c>
      <c r="K43" s="315" t="str">
        <f t="shared" si="3"/>
        <v/>
      </c>
      <c r="M43" s="316">
        <f t="shared" si="7"/>
        <v>4.5</v>
      </c>
      <c r="N43" s="317"/>
      <c r="O43" s="318">
        <f t="shared" si="8"/>
        <v>0</v>
      </c>
      <c r="P43" s="319">
        <f>(N43/M43)</f>
        <v>0</v>
      </c>
      <c r="Q43" s="114">
        <f t="shared" si="5"/>
        <v>0</v>
      </c>
      <c r="R43" s="76">
        <f t="shared" si="6"/>
        <v>0</v>
      </c>
      <c r="S43" s="320">
        <f t="shared" si="9"/>
        <v>0</v>
      </c>
      <c r="U43" s="321">
        <f t="shared" si="10"/>
        <v>0</v>
      </c>
      <c r="V43" s="322">
        <f t="shared" si="11"/>
        <v>0</v>
      </c>
    </row>
    <row r="44" spans="1:22" ht="15" thickBot="1" x14ac:dyDescent="0.4">
      <c r="A44" s="360"/>
      <c r="B44" s="326">
        <v>40</v>
      </c>
      <c r="C44" s="366"/>
      <c r="D44" s="367"/>
      <c r="E44" s="368"/>
      <c r="F44" s="369" t="str">
        <f t="shared" si="0"/>
        <v/>
      </c>
      <c r="G44" s="370" t="str">
        <f t="shared" si="1"/>
        <v/>
      </c>
      <c r="H44" s="367"/>
      <c r="I44" s="368"/>
      <c r="J44" s="369" t="str">
        <f t="shared" si="2"/>
        <v/>
      </c>
      <c r="K44" s="370" t="str">
        <f t="shared" si="3"/>
        <v/>
      </c>
      <c r="L44" s="360"/>
      <c r="M44" s="332">
        <f t="shared" si="7"/>
        <v>4.5</v>
      </c>
      <c r="N44" s="333"/>
      <c r="O44" s="334">
        <f t="shared" si="8"/>
        <v>0</v>
      </c>
      <c r="P44" s="335">
        <f>(N44/M44)</f>
        <v>0</v>
      </c>
      <c r="Q44" s="336">
        <f t="shared" si="5"/>
        <v>0</v>
      </c>
      <c r="R44" s="337">
        <f t="shared" si="6"/>
        <v>0</v>
      </c>
      <c r="S44" s="338">
        <f t="shared" si="9"/>
        <v>0</v>
      </c>
      <c r="U44" s="356">
        <f t="shared" si="10"/>
        <v>0</v>
      </c>
      <c r="V44" s="357">
        <f t="shared" si="11"/>
        <v>0</v>
      </c>
    </row>
    <row r="45" spans="1:22" ht="15" thickTop="1" x14ac:dyDescent="0.35">
      <c r="V45" s="440"/>
    </row>
    <row r="46" spans="1:22" x14ac:dyDescent="0.35"/>
  </sheetData>
  <sheetProtection algorithmName="SHA-512" hashValue="71kwHCJXYl8IJpa4IAedvBuLMe7ERc4VxHaU1dK89H1nBvtHHz9WzjJlFu+I4NoXCXKaJeenkyig8OX8Xhdiug==" saltValue="aAXMil5uJT2yacsBbKXr5w==" spinCount="100000" sheet="1" objects="1" scenarios="1" selectLockedCells="1"/>
  <mergeCells count="16">
    <mergeCell ref="B1:K1"/>
    <mergeCell ref="M1:S1"/>
    <mergeCell ref="U1:V1"/>
    <mergeCell ref="B2:E2"/>
    <mergeCell ref="G2:I2"/>
    <mergeCell ref="J2:K2"/>
    <mergeCell ref="M2:S2"/>
    <mergeCell ref="P3:R3"/>
    <mergeCell ref="U3:U4"/>
    <mergeCell ref="V3:V4"/>
    <mergeCell ref="B3:E3"/>
    <mergeCell ref="G3:I3"/>
    <mergeCell ref="J3:K3"/>
    <mergeCell ref="M3:M4"/>
    <mergeCell ref="N3:N4"/>
    <mergeCell ref="O3:O4"/>
  </mergeCells>
  <conditionalFormatting sqref="R6:R44">
    <cfRule type="cellIs" dxfId="4" priority="1" operator="lessThan">
      <formula>0.0000115740740740741</formula>
    </cfRule>
  </conditionalFormatting>
  <dataValidations count="1">
    <dataValidation type="list" allowBlank="1" showInputMessage="1" showErrorMessage="1" sqref="E5:E44 I5:I136 E45:F136" xr:uid="{035B71C2-EFD9-4E97-96D8-F9F04210DFFE}">
      <formula1>$X$5:$X$6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680A-3F0F-4822-8BEE-69B8D7D00415}">
  <dimension ref="A1:Y45"/>
  <sheetViews>
    <sheetView topLeftCell="A4" workbookViewId="0">
      <selection activeCell="C43" sqref="C43"/>
    </sheetView>
  </sheetViews>
  <sheetFormatPr defaultColWidth="0" defaultRowHeight="14.5" zeroHeight="1" x14ac:dyDescent="0.35"/>
  <cols>
    <col min="1" max="1" width="0.36328125" style="194" customWidth="1"/>
    <col min="2" max="2" width="4" style="84" customWidth="1"/>
    <col min="3" max="4" width="6.26953125" style="178" customWidth="1"/>
    <col min="5" max="5" width="5.54296875" style="178" bestFit="1" customWidth="1"/>
    <col min="6" max="6" width="2.81640625" style="178" hidden="1" customWidth="1"/>
    <col min="7" max="8" width="6.26953125" style="178" customWidth="1"/>
    <col min="9" max="9" width="5.54296875" style="178" customWidth="1"/>
    <col min="10" max="10" width="2.1796875" style="178" hidden="1" customWidth="1"/>
    <col min="11" max="11" width="6.26953125" style="178" customWidth="1"/>
    <col min="12" max="12" width="0.36328125" style="194" customWidth="1"/>
    <col min="13" max="13" width="5.08984375" customWidth="1"/>
    <col min="14" max="15" width="7.6328125" customWidth="1"/>
    <col min="16" max="17" width="6.453125" customWidth="1"/>
    <col min="18" max="18" width="7.90625" customWidth="1"/>
    <col min="19" max="19" width="9.453125" customWidth="1"/>
    <col min="20" max="20" width="0.36328125" style="194" customWidth="1"/>
    <col min="21" max="22" width="8.1796875" customWidth="1"/>
    <col min="23" max="23" width="9.453125" customWidth="1"/>
    <col min="24" max="24" width="9.453125" style="84" customWidth="1"/>
    <col min="25" max="25" width="9.1796875" customWidth="1"/>
    <col min="26" max="16384" width="9.1796875" hidden="1"/>
  </cols>
  <sheetData>
    <row r="1" spans="1:24" ht="24" thickBot="1" x14ac:dyDescent="0.4">
      <c r="B1" s="512" t="s">
        <v>236</v>
      </c>
      <c r="C1" s="512"/>
      <c r="D1" s="512"/>
      <c r="E1" s="512"/>
      <c r="F1" s="512"/>
      <c r="G1" s="512"/>
      <c r="H1" s="512"/>
      <c r="I1" s="512"/>
      <c r="J1" s="512"/>
      <c r="K1" s="512"/>
      <c r="M1" s="513" t="s">
        <v>161</v>
      </c>
      <c r="N1" s="513"/>
      <c r="O1" s="513"/>
      <c r="P1" s="513"/>
      <c r="Q1" s="513"/>
      <c r="R1" s="513"/>
      <c r="S1" s="513"/>
      <c r="U1" s="514" t="s">
        <v>289</v>
      </c>
      <c r="V1" s="515"/>
    </row>
    <row r="2" spans="1:24" s="177" customFormat="1" ht="24" thickBot="1" x14ac:dyDescent="0.6">
      <c r="A2" s="277"/>
      <c r="B2" s="502" t="s">
        <v>242</v>
      </c>
      <c r="C2" s="503"/>
      <c r="D2" s="503"/>
      <c r="E2" s="503"/>
      <c r="F2" s="278"/>
      <c r="G2" s="504" t="s">
        <v>238</v>
      </c>
      <c r="H2" s="504"/>
      <c r="I2" s="504"/>
      <c r="J2" s="503" t="s">
        <v>239</v>
      </c>
      <c r="K2" s="505"/>
      <c r="L2" s="277"/>
      <c r="M2" s="520" t="s">
        <v>290</v>
      </c>
      <c r="N2" s="520"/>
      <c r="O2" s="520"/>
      <c r="P2" s="520"/>
      <c r="Q2" s="520"/>
      <c r="R2" s="520"/>
      <c r="S2" s="520"/>
      <c r="T2" s="277"/>
      <c r="U2" s="279">
        <v>196</v>
      </c>
      <c r="V2" s="280" t="s">
        <v>227</v>
      </c>
      <c r="X2" s="281"/>
    </row>
    <row r="3" spans="1:24" s="177" customFormat="1" ht="24" thickBot="1" x14ac:dyDescent="0.6">
      <c r="A3" s="277"/>
      <c r="B3" s="502" t="s">
        <v>242</v>
      </c>
      <c r="C3" s="503"/>
      <c r="D3" s="503"/>
      <c r="E3" s="503"/>
      <c r="F3" s="278"/>
      <c r="G3" s="516" t="s">
        <v>237</v>
      </c>
      <c r="H3" s="516"/>
      <c r="I3" s="516"/>
      <c r="J3" s="503" t="s">
        <v>240</v>
      </c>
      <c r="K3" s="505"/>
      <c r="L3" s="277"/>
      <c r="M3" s="506" t="s">
        <v>291</v>
      </c>
      <c r="N3" s="508" t="s">
        <v>292</v>
      </c>
      <c r="O3" s="510" t="s">
        <v>293</v>
      </c>
      <c r="P3" s="495" t="s">
        <v>25</v>
      </c>
      <c r="Q3" s="496"/>
      <c r="R3" s="497"/>
      <c r="S3" s="282" t="s">
        <v>294</v>
      </c>
      <c r="T3" s="277"/>
      <c r="U3" s="518" t="s">
        <v>295</v>
      </c>
      <c r="V3" s="519" t="s">
        <v>296</v>
      </c>
      <c r="X3" s="281"/>
    </row>
    <row r="4" spans="1:24" s="176" customFormat="1" ht="16" thickBot="1" x14ac:dyDescent="0.4">
      <c r="A4" s="283"/>
      <c r="B4" s="284" t="s">
        <v>272</v>
      </c>
      <c r="C4" s="285" t="b">
        <v>1</v>
      </c>
      <c r="D4" s="286" t="s">
        <v>234</v>
      </c>
      <c r="E4" s="287" t="s">
        <v>246</v>
      </c>
      <c r="F4" s="288" t="s">
        <v>248</v>
      </c>
      <c r="G4" s="289" t="s">
        <v>136</v>
      </c>
      <c r="H4" s="286" t="s">
        <v>179</v>
      </c>
      <c r="I4" s="287" t="s">
        <v>246</v>
      </c>
      <c r="J4" s="288" t="s">
        <v>249</v>
      </c>
      <c r="K4" s="289" t="s">
        <v>235</v>
      </c>
      <c r="L4" s="283"/>
      <c r="M4" s="507"/>
      <c r="N4" s="509"/>
      <c r="O4" s="511"/>
      <c r="P4" s="290" t="s">
        <v>132</v>
      </c>
      <c r="Q4" s="291" t="s">
        <v>133</v>
      </c>
      <c r="R4" s="292" t="s">
        <v>134</v>
      </c>
      <c r="S4" s="293" t="s">
        <v>134</v>
      </c>
      <c r="T4" s="283"/>
      <c r="U4" s="499"/>
      <c r="V4" s="501"/>
      <c r="X4" s="294" t="s">
        <v>243</v>
      </c>
    </row>
    <row r="5" spans="1:24" x14ac:dyDescent="0.35">
      <c r="A5" s="295"/>
      <c r="B5" s="296">
        <v>1</v>
      </c>
      <c r="C5" s="297"/>
      <c r="D5" s="298"/>
      <c r="E5" s="299"/>
      <c r="F5" s="300" t="str">
        <f>IF(E5="East", (C5-D5), (IF(E5="West", (C5+D5),(""))))</f>
        <v/>
      </c>
      <c r="G5" s="301" t="str">
        <f>IF(F5&lt;1000, (MOD(F5,360)),(""))</f>
        <v/>
      </c>
      <c r="H5" s="298"/>
      <c r="I5" s="299"/>
      <c r="J5" s="300" t="str">
        <f>IF(I5="East", (G5-H5), (IF(I5="West", (G5+H5),(""))))</f>
        <v/>
      </c>
      <c r="K5" s="301" t="str">
        <f>IF(J5&lt;1000, (MOD(J5,360)),(""))</f>
        <v/>
      </c>
      <c r="L5" s="295"/>
      <c r="M5" s="302">
        <v>4.5</v>
      </c>
      <c r="N5" s="303">
        <v>0</v>
      </c>
      <c r="O5" s="304">
        <f>(N5)</f>
        <v>0</v>
      </c>
      <c r="P5" s="305">
        <f>(N5/M5)</f>
        <v>0</v>
      </c>
      <c r="Q5" s="113">
        <f>(P5*60)</f>
        <v>0</v>
      </c>
      <c r="R5" s="72">
        <f>(Q5/1440)</f>
        <v>0</v>
      </c>
      <c r="S5" s="306">
        <f>(R5)</f>
        <v>0</v>
      </c>
      <c r="T5" s="295"/>
      <c r="U5" s="307">
        <f>(P5*$U$2)</f>
        <v>0</v>
      </c>
      <c r="V5" s="308">
        <f>(U5)</f>
        <v>0</v>
      </c>
      <c r="W5" s="179"/>
      <c r="X5" s="309" t="s">
        <v>244</v>
      </c>
    </row>
    <row r="6" spans="1:24" ht="15" thickBot="1" x14ac:dyDescent="0.4">
      <c r="A6" s="295"/>
      <c r="B6" s="310">
        <v>2</v>
      </c>
      <c r="C6" s="311"/>
      <c r="D6" s="312"/>
      <c r="E6" s="313"/>
      <c r="F6" s="314" t="str">
        <f t="shared" ref="F6:F44" si="0">IF(E6="East", (C6-D6), (IF(E6="West", (C6+D6),(""))))</f>
        <v/>
      </c>
      <c r="G6" s="315" t="str">
        <f t="shared" ref="G6:G44" si="1">IF(F6&lt;1000, (MOD(F6,360)),(""))</f>
        <v/>
      </c>
      <c r="H6" s="312"/>
      <c r="I6" s="313"/>
      <c r="J6" s="314" t="str">
        <f t="shared" ref="J6:J44" si="2">IF(I6="East", (G6-H6), (IF(I6="West", (G6+H6),(""))))</f>
        <v/>
      </c>
      <c r="K6" s="315" t="str">
        <f t="shared" ref="K6:K44" si="3">IF(J6&lt;1000, (MOD(J6,360)),(""))</f>
        <v/>
      </c>
      <c r="L6" s="295"/>
      <c r="M6" s="316">
        <f>(M5)</f>
        <v>4.5</v>
      </c>
      <c r="N6" s="317"/>
      <c r="O6" s="318">
        <f>(O5+N6)</f>
        <v>0</v>
      </c>
      <c r="P6" s="319">
        <f t="shared" ref="P6:P34" si="4">(N6/M6)</f>
        <v>0</v>
      </c>
      <c r="Q6" s="114">
        <f t="shared" ref="Q6:Q44" si="5">(P6*60)</f>
        <v>0</v>
      </c>
      <c r="R6" s="76">
        <f t="shared" ref="R6:R44" si="6">(Q6/1440)</f>
        <v>0</v>
      </c>
      <c r="S6" s="320">
        <f>S5+R6</f>
        <v>0</v>
      </c>
      <c r="T6" s="295"/>
      <c r="U6" s="321">
        <f>(P6*$U$2)</f>
        <v>0</v>
      </c>
      <c r="V6" s="322">
        <f>(V5+U6)</f>
        <v>0</v>
      </c>
      <c r="W6" s="179"/>
      <c r="X6" s="323" t="s">
        <v>245</v>
      </c>
    </row>
    <row r="7" spans="1:24" ht="15" thickBot="1" x14ac:dyDescent="0.4">
      <c r="A7" s="295"/>
      <c r="B7" s="310">
        <v>3</v>
      </c>
      <c r="C7" s="311"/>
      <c r="D7" s="312"/>
      <c r="E7" s="313"/>
      <c r="F7" s="314" t="str">
        <f t="shared" si="0"/>
        <v/>
      </c>
      <c r="G7" s="315" t="str">
        <f t="shared" si="1"/>
        <v/>
      </c>
      <c r="H7" s="312"/>
      <c r="I7" s="313"/>
      <c r="J7" s="314" t="str">
        <f t="shared" si="2"/>
        <v/>
      </c>
      <c r="K7" s="315" t="str">
        <f t="shared" si="3"/>
        <v/>
      </c>
      <c r="L7" s="295"/>
      <c r="M7" s="316">
        <f t="shared" ref="M7:M44" si="7">(M6)</f>
        <v>4.5</v>
      </c>
      <c r="N7" s="317"/>
      <c r="O7" s="318">
        <f t="shared" ref="O7:O44" si="8">(O6+N7)</f>
        <v>0</v>
      </c>
      <c r="P7" s="319">
        <f t="shared" si="4"/>
        <v>0</v>
      </c>
      <c r="Q7" s="114">
        <f t="shared" si="5"/>
        <v>0</v>
      </c>
      <c r="R7" s="76">
        <f t="shared" si="6"/>
        <v>0</v>
      </c>
      <c r="S7" s="320">
        <f t="shared" ref="S7:S44" si="9">S6+R7</f>
        <v>0</v>
      </c>
      <c r="T7" s="295"/>
      <c r="U7" s="321">
        <f t="shared" ref="U7:U44" si="10">(P7*$U$2)</f>
        <v>0</v>
      </c>
      <c r="V7" s="322">
        <f t="shared" ref="V7:V44" si="11">(V6+U7)</f>
        <v>0</v>
      </c>
      <c r="W7" s="179"/>
    </row>
    <row r="8" spans="1:24" ht="15" thickBot="1" x14ac:dyDescent="0.4">
      <c r="A8" s="295"/>
      <c r="B8" s="310">
        <v>4</v>
      </c>
      <c r="C8" s="311"/>
      <c r="D8" s="312"/>
      <c r="E8" s="313"/>
      <c r="F8" s="314" t="str">
        <f t="shared" si="0"/>
        <v/>
      </c>
      <c r="G8" s="315" t="str">
        <f t="shared" si="1"/>
        <v/>
      </c>
      <c r="H8" s="312"/>
      <c r="I8" s="313"/>
      <c r="J8" s="314" t="str">
        <f t="shared" si="2"/>
        <v/>
      </c>
      <c r="K8" s="315" t="str">
        <f t="shared" si="3"/>
        <v/>
      </c>
      <c r="L8" s="295"/>
      <c r="M8" s="316">
        <f t="shared" si="7"/>
        <v>4.5</v>
      </c>
      <c r="N8" s="317"/>
      <c r="O8" s="318">
        <f t="shared" si="8"/>
        <v>0</v>
      </c>
      <c r="P8" s="319">
        <f t="shared" si="4"/>
        <v>0</v>
      </c>
      <c r="Q8" s="114">
        <f t="shared" si="5"/>
        <v>0</v>
      </c>
      <c r="R8" s="76">
        <f t="shared" si="6"/>
        <v>0</v>
      </c>
      <c r="S8" s="320">
        <f t="shared" si="9"/>
        <v>0</v>
      </c>
      <c r="T8" s="295"/>
      <c r="U8" s="321">
        <f t="shared" si="10"/>
        <v>0</v>
      </c>
      <c r="V8" s="322">
        <f t="shared" si="11"/>
        <v>0</v>
      </c>
      <c r="W8" s="179"/>
      <c r="X8" s="324" t="s">
        <v>247</v>
      </c>
    </row>
    <row r="9" spans="1:24" x14ac:dyDescent="0.35">
      <c r="A9" s="295"/>
      <c r="B9" s="310">
        <v>5</v>
      </c>
      <c r="C9" s="311"/>
      <c r="D9" s="312"/>
      <c r="E9" s="313"/>
      <c r="F9" s="314" t="str">
        <f t="shared" si="0"/>
        <v/>
      </c>
      <c r="G9" s="315" t="str">
        <f t="shared" si="1"/>
        <v/>
      </c>
      <c r="H9" s="312"/>
      <c r="I9" s="313"/>
      <c r="J9" s="314" t="str">
        <f t="shared" si="2"/>
        <v/>
      </c>
      <c r="K9" s="315" t="str">
        <f t="shared" si="3"/>
        <v/>
      </c>
      <c r="L9" s="295"/>
      <c r="M9" s="316">
        <f t="shared" si="7"/>
        <v>4.5</v>
      </c>
      <c r="N9" s="317"/>
      <c r="O9" s="318">
        <f t="shared" si="8"/>
        <v>0</v>
      </c>
      <c r="P9" s="319">
        <f t="shared" si="4"/>
        <v>0</v>
      </c>
      <c r="Q9" s="114">
        <f t="shared" si="5"/>
        <v>0</v>
      </c>
      <c r="R9" s="76">
        <f t="shared" si="6"/>
        <v>0</v>
      </c>
      <c r="S9" s="320">
        <f t="shared" si="9"/>
        <v>0</v>
      </c>
      <c r="T9" s="295"/>
      <c r="U9" s="321">
        <f t="shared" si="10"/>
        <v>0</v>
      </c>
      <c r="V9" s="322">
        <f t="shared" si="11"/>
        <v>0</v>
      </c>
      <c r="W9" s="179"/>
    </row>
    <row r="10" spans="1:24" x14ac:dyDescent="0.35">
      <c r="A10" s="295"/>
      <c r="B10" s="310">
        <v>6</v>
      </c>
      <c r="C10" s="311"/>
      <c r="D10" s="312"/>
      <c r="E10" s="313"/>
      <c r="F10" s="314" t="str">
        <f t="shared" si="0"/>
        <v/>
      </c>
      <c r="G10" s="315" t="str">
        <f t="shared" si="1"/>
        <v/>
      </c>
      <c r="H10" s="312"/>
      <c r="I10" s="313"/>
      <c r="J10" s="314" t="str">
        <f t="shared" si="2"/>
        <v/>
      </c>
      <c r="K10" s="315" t="str">
        <f t="shared" si="3"/>
        <v/>
      </c>
      <c r="L10" s="295"/>
      <c r="M10" s="316">
        <f t="shared" si="7"/>
        <v>4.5</v>
      </c>
      <c r="N10" s="317"/>
      <c r="O10" s="318">
        <f t="shared" si="8"/>
        <v>0</v>
      </c>
      <c r="P10" s="319">
        <f t="shared" si="4"/>
        <v>0</v>
      </c>
      <c r="Q10" s="114">
        <f t="shared" si="5"/>
        <v>0</v>
      </c>
      <c r="R10" s="76">
        <f t="shared" si="6"/>
        <v>0</v>
      </c>
      <c r="S10" s="320">
        <f t="shared" si="9"/>
        <v>0</v>
      </c>
      <c r="T10" s="295"/>
      <c r="U10" s="321">
        <f t="shared" si="10"/>
        <v>0</v>
      </c>
      <c r="V10" s="322">
        <f t="shared" si="11"/>
        <v>0</v>
      </c>
      <c r="W10" s="179"/>
      <c r="X10"/>
    </row>
    <row r="11" spans="1:24" x14ac:dyDescent="0.35">
      <c r="A11" s="295"/>
      <c r="B11" s="310">
        <v>7</v>
      </c>
      <c r="C11" s="311"/>
      <c r="D11" s="312"/>
      <c r="E11" s="313"/>
      <c r="F11" s="314" t="str">
        <f t="shared" si="0"/>
        <v/>
      </c>
      <c r="G11" s="315" t="str">
        <f t="shared" si="1"/>
        <v/>
      </c>
      <c r="H11" s="312"/>
      <c r="I11" s="313"/>
      <c r="J11" s="314" t="str">
        <f t="shared" si="2"/>
        <v/>
      </c>
      <c r="K11" s="315" t="str">
        <f t="shared" si="3"/>
        <v/>
      </c>
      <c r="L11" s="295"/>
      <c r="M11" s="316">
        <f t="shared" si="7"/>
        <v>4.5</v>
      </c>
      <c r="N11" s="317"/>
      <c r="O11" s="318">
        <f t="shared" si="8"/>
        <v>0</v>
      </c>
      <c r="P11" s="319">
        <f t="shared" si="4"/>
        <v>0</v>
      </c>
      <c r="Q11" s="114">
        <f t="shared" si="5"/>
        <v>0</v>
      </c>
      <c r="R11" s="76">
        <f t="shared" si="6"/>
        <v>0</v>
      </c>
      <c r="S11" s="320">
        <f t="shared" si="9"/>
        <v>0</v>
      </c>
      <c r="T11" s="295"/>
      <c r="U11" s="321">
        <f t="shared" si="10"/>
        <v>0</v>
      </c>
      <c r="V11" s="322">
        <f t="shared" si="11"/>
        <v>0</v>
      </c>
      <c r="W11" s="179"/>
      <c r="X11"/>
    </row>
    <row r="12" spans="1:24" ht="15" thickBot="1" x14ac:dyDescent="0.4">
      <c r="A12" s="325"/>
      <c r="B12" s="326">
        <v>8</v>
      </c>
      <c r="C12" s="327"/>
      <c r="D12" s="328"/>
      <c r="E12" s="329"/>
      <c r="F12" s="330" t="str">
        <f t="shared" si="0"/>
        <v/>
      </c>
      <c r="G12" s="331" t="str">
        <f t="shared" si="1"/>
        <v/>
      </c>
      <c r="H12" s="328"/>
      <c r="I12" s="329"/>
      <c r="J12" s="330" t="str">
        <f t="shared" si="2"/>
        <v/>
      </c>
      <c r="K12" s="331" t="str">
        <f t="shared" si="3"/>
        <v/>
      </c>
      <c r="L12" s="325"/>
      <c r="M12" s="332">
        <f t="shared" si="7"/>
        <v>4.5</v>
      </c>
      <c r="N12" s="333"/>
      <c r="O12" s="334">
        <f t="shared" si="8"/>
        <v>0</v>
      </c>
      <c r="P12" s="335">
        <f t="shared" si="4"/>
        <v>0</v>
      </c>
      <c r="Q12" s="336">
        <f t="shared" si="5"/>
        <v>0</v>
      </c>
      <c r="R12" s="337">
        <f t="shared" si="6"/>
        <v>0</v>
      </c>
      <c r="S12" s="338">
        <f t="shared" si="9"/>
        <v>0</v>
      </c>
      <c r="T12" s="295"/>
      <c r="U12" s="339">
        <f t="shared" si="10"/>
        <v>0</v>
      </c>
      <c r="V12" s="340">
        <f t="shared" si="11"/>
        <v>0</v>
      </c>
      <c r="W12" s="179"/>
    </row>
    <row r="13" spans="1:24" ht="15" thickTop="1" x14ac:dyDescent="0.35">
      <c r="A13" s="295"/>
      <c r="B13" s="341">
        <v>9</v>
      </c>
      <c r="C13" s="342"/>
      <c r="D13" s="343"/>
      <c r="E13" s="344"/>
      <c r="F13" s="345" t="str">
        <f t="shared" si="0"/>
        <v/>
      </c>
      <c r="G13" s="346" t="str">
        <f t="shared" si="1"/>
        <v/>
      </c>
      <c r="H13" s="343"/>
      <c r="I13" s="344"/>
      <c r="J13" s="345" t="str">
        <f t="shared" si="2"/>
        <v/>
      </c>
      <c r="K13" s="346" t="str">
        <f t="shared" si="3"/>
        <v/>
      </c>
      <c r="L13" s="295"/>
      <c r="M13" s="347">
        <f t="shared" si="7"/>
        <v>4.5</v>
      </c>
      <c r="N13" s="348"/>
      <c r="O13" s="349">
        <f t="shared" si="8"/>
        <v>0</v>
      </c>
      <c r="P13" s="350">
        <f t="shared" si="4"/>
        <v>0</v>
      </c>
      <c r="Q13" s="351">
        <f t="shared" si="5"/>
        <v>0</v>
      </c>
      <c r="R13" s="352">
        <f t="shared" si="6"/>
        <v>0</v>
      </c>
      <c r="S13" s="353">
        <f t="shared" si="9"/>
        <v>0</v>
      </c>
      <c r="T13" s="295"/>
      <c r="U13" s="354">
        <f t="shared" si="10"/>
        <v>0</v>
      </c>
      <c r="V13" s="355">
        <f t="shared" si="11"/>
        <v>0</v>
      </c>
      <c r="W13" s="179"/>
    </row>
    <row r="14" spans="1:24" x14ac:dyDescent="0.35">
      <c r="A14" s="295"/>
      <c r="B14" s="310">
        <v>10</v>
      </c>
      <c r="C14" s="311"/>
      <c r="D14" s="312"/>
      <c r="E14" s="313"/>
      <c r="F14" s="314" t="str">
        <f t="shared" si="0"/>
        <v/>
      </c>
      <c r="G14" s="315" t="str">
        <f t="shared" si="1"/>
        <v/>
      </c>
      <c r="H14" s="312"/>
      <c r="I14" s="313"/>
      <c r="J14" s="314" t="str">
        <f t="shared" si="2"/>
        <v/>
      </c>
      <c r="K14" s="315" t="str">
        <f t="shared" si="3"/>
        <v/>
      </c>
      <c r="L14" s="295"/>
      <c r="M14" s="316">
        <f t="shared" si="7"/>
        <v>4.5</v>
      </c>
      <c r="N14" s="317"/>
      <c r="O14" s="318">
        <f t="shared" si="8"/>
        <v>0</v>
      </c>
      <c r="P14" s="319">
        <f t="shared" si="4"/>
        <v>0</v>
      </c>
      <c r="Q14" s="114">
        <f t="shared" si="5"/>
        <v>0</v>
      </c>
      <c r="R14" s="76">
        <f t="shared" si="6"/>
        <v>0</v>
      </c>
      <c r="S14" s="320">
        <f t="shared" si="9"/>
        <v>0</v>
      </c>
      <c r="T14" s="295"/>
      <c r="U14" s="321">
        <f t="shared" si="10"/>
        <v>0</v>
      </c>
      <c r="V14" s="322">
        <f t="shared" si="11"/>
        <v>0</v>
      </c>
      <c r="W14" s="179"/>
      <c r="X14" s="84" t="s">
        <v>297</v>
      </c>
    </row>
    <row r="15" spans="1:24" x14ac:dyDescent="0.35">
      <c r="A15" s="295"/>
      <c r="B15" s="310">
        <v>11</v>
      </c>
      <c r="C15" s="311"/>
      <c r="D15" s="312"/>
      <c r="E15" s="313"/>
      <c r="F15" s="314" t="str">
        <f t="shared" si="0"/>
        <v/>
      </c>
      <c r="G15" s="315" t="str">
        <f t="shared" si="1"/>
        <v/>
      </c>
      <c r="H15" s="312"/>
      <c r="I15" s="313"/>
      <c r="J15" s="314" t="str">
        <f t="shared" si="2"/>
        <v/>
      </c>
      <c r="K15" s="315" t="str">
        <f t="shared" si="3"/>
        <v/>
      </c>
      <c r="L15" s="295"/>
      <c r="M15" s="316">
        <f t="shared" si="7"/>
        <v>4.5</v>
      </c>
      <c r="N15" s="317"/>
      <c r="O15" s="318">
        <f t="shared" si="8"/>
        <v>0</v>
      </c>
      <c r="P15" s="319">
        <f t="shared" si="4"/>
        <v>0</v>
      </c>
      <c r="Q15" s="114">
        <f t="shared" si="5"/>
        <v>0</v>
      </c>
      <c r="R15" s="76">
        <f t="shared" si="6"/>
        <v>0</v>
      </c>
      <c r="S15" s="320">
        <f t="shared" si="9"/>
        <v>0</v>
      </c>
      <c r="T15" s="295"/>
      <c r="U15" s="321">
        <f t="shared" si="10"/>
        <v>0</v>
      </c>
      <c r="V15" s="322">
        <f t="shared" si="11"/>
        <v>0</v>
      </c>
      <c r="W15" s="179"/>
    </row>
    <row r="16" spans="1:24" x14ac:dyDescent="0.35">
      <c r="A16" s="295"/>
      <c r="B16" s="310">
        <v>12</v>
      </c>
      <c r="C16" s="311"/>
      <c r="D16" s="312"/>
      <c r="E16" s="313"/>
      <c r="F16" s="314" t="str">
        <f t="shared" si="0"/>
        <v/>
      </c>
      <c r="G16" s="315" t="str">
        <f t="shared" si="1"/>
        <v/>
      </c>
      <c r="H16" s="312"/>
      <c r="I16" s="313"/>
      <c r="J16" s="314" t="str">
        <f t="shared" si="2"/>
        <v/>
      </c>
      <c r="K16" s="315" t="str">
        <f t="shared" si="3"/>
        <v/>
      </c>
      <c r="L16" s="295"/>
      <c r="M16" s="316">
        <f t="shared" si="7"/>
        <v>4.5</v>
      </c>
      <c r="N16" s="317"/>
      <c r="O16" s="318">
        <f t="shared" si="8"/>
        <v>0</v>
      </c>
      <c r="P16" s="319">
        <f t="shared" si="4"/>
        <v>0</v>
      </c>
      <c r="Q16" s="114">
        <f t="shared" si="5"/>
        <v>0</v>
      </c>
      <c r="R16" s="76">
        <f t="shared" si="6"/>
        <v>0</v>
      </c>
      <c r="S16" s="320">
        <f t="shared" si="9"/>
        <v>0</v>
      </c>
      <c r="T16" s="295"/>
      <c r="U16" s="321">
        <f t="shared" si="10"/>
        <v>0</v>
      </c>
      <c r="V16" s="322">
        <f t="shared" si="11"/>
        <v>0</v>
      </c>
      <c r="W16" s="179"/>
    </row>
    <row r="17" spans="1:23" x14ac:dyDescent="0.35">
      <c r="A17" s="295"/>
      <c r="B17" s="310">
        <v>13</v>
      </c>
      <c r="C17" s="311"/>
      <c r="D17" s="312"/>
      <c r="E17" s="313"/>
      <c r="F17" s="314" t="str">
        <f t="shared" si="0"/>
        <v/>
      </c>
      <c r="G17" s="315" t="str">
        <f t="shared" si="1"/>
        <v/>
      </c>
      <c r="H17" s="312"/>
      <c r="I17" s="313"/>
      <c r="J17" s="314" t="str">
        <f t="shared" si="2"/>
        <v/>
      </c>
      <c r="K17" s="315" t="str">
        <f t="shared" si="3"/>
        <v/>
      </c>
      <c r="L17" s="295"/>
      <c r="M17" s="316">
        <f t="shared" si="7"/>
        <v>4.5</v>
      </c>
      <c r="N17" s="317"/>
      <c r="O17" s="318">
        <f t="shared" si="8"/>
        <v>0</v>
      </c>
      <c r="P17" s="319">
        <f t="shared" si="4"/>
        <v>0</v>
      </c>
      <c r="Q17" s="114">
        <f t="shared" si="5"/>
        <v>0</v>
      </c>
      <c r="R17" s="76">
        <f t="shared" si="6"/>
        <v>0</v>
      </c>
      <c r="S17" s="320">
        <f t="shared" si="9"/>
        <v>0</v>
      </c>
      <c r="T17" s="295"/>
      <c r="U17" s="321">
        <f t="shared" si="10"/>
        <v>0</v>
      </c>
      <c r="V17" s="322">
        <f t="shared" si="11"/>
        <v>0</v>
      </c>
      <c r="W17" s="179"/>
    </row>
    <row r="18" spans="1:23" x14ac:dyDescent="0.35">
      <c r="A18" s="295"/>
      <c r="B18" s="310">
        <v>14</v>
      </c>
      <c r="C18" s="311"/>
      <c r="D18" s="312"/>
      <c r="E18" s="313"/>
      <c r="F18" s="314" t="str">
        <f t="shared" si="0"/>
        <v/>
      </c>
      <c r="G18" s="315" t="str">
        <f t="shared" si="1"/>
        <v/>
      </c>
      <c r="H18" s="312"/>
      <c r="I18" s="313"/>
      <c r="J18" s="314" t="str">
        <f t="shared" si="2"/>
        <v/>
      </c>
      <c r="K18" s="315" t="str">
        <f t="shared" si="3"/>
        <v/>
      </c>
      <c r="L18" s="295"/>
      <c r="M18" s="316">
        <f t="shared" si="7"/>
        <v>4.5</v>
      </c>
      <c r="N18" s="317"/>
      <c r="O18" s="318">
        <f t="shared" si="8"/>
        <v>0</v>
      </c>
      <c r="P18" s="319">
        <f t="shared" si="4"/>
        <v>0</v>
      </c>
      <c r="Q18" s="114">
        <f t="shared" si="5"/>
        <v>0</v>
      </c>
      <c r="R18" s="76">
        <f t="shared" si="6"/>
        <v>0</v>
      </c>
      <c r="S18" s="320">
        <f t="shared" si="9"/>
        <v>0</v>
      </c>
      <c r="T18" s="295"/>
      <c r="U18" s="321">
        <f t="shared" si="10"/>
        <v>0</v>
      </c>
      <c r="V18" s="322">
        <f t="shared" si="11"/>
        <v>0</v>
      </c>
      <c r="W18" s="179"/>
    </row>
    <row r="19" spans="1:23" x14ac:dyDescent="0.35">
      <c r="A19" s="295"/>
      <c r="B19" s="310">
        <v>15</v>
      </c>
      <c r="C19" s="311"/>
      <c r="D19" s="312"/>
      <c r="E19" s="313"/>
      <c r="F19" s="314" t="str">
        <f t="shared" si="0"/>
        <v/>
      </c>
      <c r="G19" s="315" t="str">
        <f t="shared" si="1"/>
        <v/>
      </c>
      <c r="H19" s="312"/>
      <c r="I19" s="313"/>
      <c r="J19" s="314" t="str">
        <f t="shared" si="2"/>
        <v/>
      </c>
      <c r="K19" s="315" t="str">
        <f t="shared" si="3"/>
        <v/>
      </c>
      <c r="L19" s="295"/>
      <c r="M19" s="316">
        <f t="shared" si="7"/>
        <v>4.5</v>
      </c>
      <c r="N19" s="317"/>
      <c r="O19" s="318">
        <f t="shared" si="8"/>
        <v>0</v>
      </c>
      <c r="P19" s="319">
        <f t="shared" si="4"/>
        <v>0</v>
      </c>
      <c r="Q19" s="114">
        <f t="shared" si="5"/>
        <v>0</v>
      </c>
      <c r="R19" s="76">
        <f t="shared" si="6"/>
        <v>0</v>
      </c>
      <c r="S19" s="320">
        <f t="shared" si="9"/>
        <v>0</v>
      </c>
      <c r="T19" s="295"/>
      <c r="U19" s="321">
        <f t="shared" si="10"/>
        <v>0</v>
      </c>
      <c r="V19" s="322">
        <f t="shared" si="11"/>
        <v>0</v>
      </c>
      <c r="W19" s="179"/>
    </row>
    <row r="20" spans="1:23" ht="15" thickBot="1" x14ac:dyDescent="0.4">
      <c r="A20" s="325"/>
      <c r="B20" s="326">
        <v>16</v>
      </c>
      <c r="C20" s="327"/>
      <c r="D20" s="328"/>
      <c r="E20" s="329"/>
      <c r="F20" s="330" t="str">
        <f t="shared" si="0"/>
        <v/>
      </c>
      <c r="G20" s="331" t="str">
        <f t="shared" si="1"/>
        <v/>
      </c>
      <c r="H20" s="328"/>
      <c r="I20" s="329"/>
      <c r="J20" s="330" t="str">
        <f t="shared" si="2"/>
        <v/>
      </c>
      <c r="K20" s="331" t="str">
        <f t="shared" si="3"/>
        <v/>
      </c>
      <c r="L20" s="325"/>
      <c r="M20" s="332">
        <f t="shared" si="7"/>
        <v>4.5</v>
      </c>
      <c r="N20" s="333"/>
      <c r="O20" s="334">
        <f t="shared" si="8"/>
        <v>0</v>
      </c>
      <c r="P20" s="335">
        <f t="shared" si="4"/>
        <v>0</v>
      </c>
      <c r="Q20" s="336">
        <f t="shared" si="5"/>
        <v>0</v>
      </c>
      <c r="R20" s="337">
        <f t="shared" si="6"/>
        <v>0</v>
      </c>
      <c r="S20" s="338">
        <f t="shared" si="9"/>
        <v>0</v>
      </c>
      <c r="T20" s="295"/>
      <c r="U20" s="356">
        <f t="shared" si="10"/>
        <v>0</v>
      </c>
      <c r="V20" s="357">
        <f t="shared" si="11"/>
        <v>0</v>
      </c>
      <c r="W20" s="179"/>
    </row>
    <row r="21" spans="1:23" ht="15" thickTop="1" x14ac:dyDescent="0.35">
      <c r="A21" s="295"/>
      <c r="B21" s="341">
        <v>17</v>
      </c>
      <c r="C21" s="342"/>
      <c r="D21" s="343"/>
      <c r="E21" s="344"/>
      <c r="F21" s="345" t="str">
        <f t="shared" si="0"/>
        <v/>
      </c>
      <c r="G21" s="346" t="str">
        <f t="shared" si="1"/>
        <v/>
      </c>
      <c r="H21" s="343"/>
      <c r="I21" s="344"/>
      <c r="J21" s="345" t="str">
        <f t="shared" si="2"/>
        <v/>
      </c>
      <c r="K21" s="346" t="str">
        <f t="shared" si="3"/>
        <v/>
      </c>
      <c r="L21" s="295"/>
      <c r="M21" s="347">
        <f t="shared" si="7"/>
        <v>4.5</v>
      </c>
      <c r="N21" s="348"/>
      <c r="O21" s="349">
        <f t="shared" si="8"/>
        <v>0</v>
      </c>
      <c r="P21" s="350">
        <f t="shared" si="4"/>
        <v>0</v>
      </c>
      <c r="Q21" s="351">
        <f t="shared" si="5"/>
        <v>0</v>
      </c>
      <c r="R21" s="352">
        <f t="shared" si="6"/>
        <v>0</v>
      </c>
      <c r="S21" s="353">
        <f t="shared" si="9"/>
        <v>0</v>
      </c>
      <c r="T21" s="295"/>
      <c r="U21" s="307">
        <f t="shared" si="10"/>
        <v>0</v>
      </c>
      <c r="V21" s="308">
        <f t="shared" si="11"/>
        <v>0</v>
      </c>
      <c r="W21" s="179"/>
    </row>
    <row r="22" spans="1:23" x14ac:dyDescent="0.35">
      <c r="A22" s="295"/>
      <c r="B22" s="310">
        <v>18</v>
      </c>
      <c r="C22" s="311"/>
      <c r="D22" s="312"/>
      <c r="E22" s="313"/>
      <c r="F22" s="314" t="str">
        <f t="shared" si="0"/>
        <v/>
      </c>
      <c r="G22" s="315" t="str">
        <f t="shared" si="1"/>
        <v/>
      </c>
      <c r="H22" s="312"/>
      <c r="I22" s="313"/>
      <c r="J22" s="314" t="str">
        <f t="shared" si="2"/>
        <v/>
      </c>
      <c r="K22" s="315" t="str">
        <f t="shared" si="3"/>
        <v/>
      </c>
      <c r="L22" s="295"/>
      <c r="M22" s="316">
        <f t="shared" si="7"/>
        <v>4.5</v>
      </c>
      <c r="N22" s="317"/>
      <c r="O22" s="318">
        <f t="shared" si="8"/>
        <v>0</v>
      </c>
      <c r="P22" s="319">
        <f t="shared" si="4"/>
        <v>0</v>
      </c>
      <c r="Q22" s="114">
        <f t="shared" si="5"/>
        <v>0</v>
      </c>
      <c r="R22" s="76">
        <f t="shared" si="6"/>
        <v>0</v>
      </c>
      <c r="S22" s="320">
        <f t="shared" si="9"/>
        <v>0</v>
      </c>
      <c r="T22" s="295"/>
      <c r="U22" s="321">
        <f t="shared" si="10"/>
        <v>0</v>
      </c>
      <c r="V22" s="322">
        <f t="shared" si="11"/>
        <v>0</v>
      </c>
      <c r="W22" s="179"/>
    </row>
    <row r="23" spans="1:23" x14ac:dyDescent="0.35">
      <c r="A23" s="295"/>
      <c r="B23" s="310">
        <v>19</v>
      </c>
      <c r="C23" s="311"/>
      <c r="D23" s="312"/>
      <c r="E23" s="313"/>
      <c r="F23" s="314" t="str">
        <f t="shared" si="0"/>
        <v/>
      </c>
      <c r="G23" s="315" t="str">
        <f t="shared" si="1"/>
        <v/>
      </c>
      <c r="H23" s="312"/>
      <c r="I23" s="313"/>
      <c r="J23" s="314" t="str">
        <f t="shared" si="2"/>
        <v/>
      </c>
      <c r="K23" s="315" t="str">
        <f t="shared" si="3"/>
        <v/>
      </c>
      <c r="L23" s="295"/>
      <c r="M23" s="316">
        <f t="shared" si="7"/>
        <v>4.5</v>
      </c>
      <c r="N23" s="317"/>
      <c r="O23" s="318">
        <f t="shared" si="8"/>
        <v>0</v>
      </c>
      <c r="P23" s="319">
        <f t="shared" si="4"/>
        <v>0</v>
      </c>
      <c r="Q23" s="114">
        <f t="shared" si="5"/>
        <v>0</v>
      </c>
      <c r="R23" s="76">
        <f t="shared" si="6"/>
        <v>0</v>
      </c>
      <c r="S23" s="320">
        <f t="shared" si="9"/>
        <v>0</v>
      </c>
      <c r="T23" s="295"/>
      <c r="U23" s="321">
        <f t="shared" si="10"/>
        <v>0</v>
      </c>
      <c r="V23" s="322">
        <f t="shared" si="11"/>
        <v>0</v>
      </c>
      <c r="W23" s="179"/>
    </row>
    <row r="24" spans="1:23" x14ac:dyDescent="0.35">
      <c r="A24" s="295"/>
      <c r="B24" s="310">
        <v>20</v>
      </c>
      <c r="C24" s="311"/>
      <c r="D24" s="312"/>
      <c r="E24" s="313"/>
      <c r="F24" s="314" t="str">
        <f t="shared" si="0"/>
        <v/>
      </c>
      <c r="G24" s="315" t="str">
        <f t="shared" si="1"/>
        <v/>
      </c>
      <c r="H24" s="312"/>
      <c r="I24" s="313"/>
      <c r="J24" s="314" t="str">
        <f t="shared" si="2"/>
        <v/>
      </c>
      <c r="K24" s="315" t="str">
        <f t="shared" si="3"/>
        <v/>
      </c>
      <c r="L24" s="295"/>
      <c r="M24" s="316">
        <f t="shared" si="7"/>
        <v>4.5</v>
      </c>
      <c r="N24" s="317"/>
      <c r="O24" s="318">
        <f t="shared" si="8"/>
        <v>0</v>
      </c>
      <c r="P24" s="319">
        <f t="shared" si="4"/>
        <v>0</v>
      </c>
      <c r="Q24" s="114">
        <f t="shared" si="5"/>
        <v>0</v>
      </c>
      <c r="R24" s="76">
        <f t="shared" si="6"/>
        <v>0</v>
      </c>
      <c r="S24" s="320">
        <f t="shared" si="9"/>
        <v>0</v>
      </c>
      <c r="T24" s="295"/>
      <c r="U24" s="321">
        <f t="shared" si="10"/>
        <v>0</v>
      </c>
      <c r="V24" s="322">
        <f t="shared" si="11"/>
        <v>0</v>
      </c>
      <c r="W24" s="179"/>
    </row>
    <row r="25" spans="1:23" x14ac:dyDescent="0.35">
      <c r="A25" s="295"/>
      <c r="B25" s="310">
        <v>21</v>
      </c>
      <c r="C25" s="311"/>
      <c r="D25" s="312"/>
      <c r="E25" s="313"/>
      <c r="F25" s="314" t="str">
        <f t="shared" si="0"/>
        <v/>
      </c>
      <c r="G25" s="315" t="str">
        <f t="shared" si="1"/>
        <v/>
      </c>
      <c r="H25" s="312"/>
      <c r="I25" s="313"/>
      <c r="J25" s="314" t="str">
        <f t="shared" si="2"/>
        <v/>
      </c>
      <c r="K25" s="315" t="str">
        <f t="shared" si="3"/>
        <v/>
      </c>
      <c r="L25" s="295"/>
      <c r="M25" s="316">
        <f t="shared" si="7"/>
        <v>4.5</v>
      </c>
      <c r="N25" s="317"/>
      <c r="O25" s="318">
        <f t="shared" si="8"/>
        <v>0</v>
      </c>
      <c r="P25" s="319">
        <f t="shared" si="4"/>
        <v>0</v>
      </c>
      <c r="Q25" s="358">
        <f t="shared" si="5"/>
        <v>0</v>
      </c>
      <c r="R25" s="76">
        <f t="shared" si="6"/>
        <v>0</v>
      </c>
      <c r="S25" s="320">
        <f t="shared" si="9"/>
        <v>0</v>
      </c>
      <c r="T25" s="295"/>
      <c r="U25" s="321">
        <f t="shared" si="10"/>
        <v>0</v>
      </c>
      <c r="V25" s="322">
        <f t="shared" si="11"/>
        <v>0</v>
      </c>
      <c r="W25" s="179"/>
    </row>
    <row r="26" spans="1:23" x14ac:dyDescent="0.35">
      <c r="B26" s="310">
        <v>22</v>
      </c>
      <c r="C26" s="311"/>
      <c r="D26" s="312"/>
      <c r="E26" s="313"/>
      <c r="F26" s="180" t="str">
        <f t="shared" si="0"/>
        <v/>
      </c>
      <c r="G26" s="359" t="str">
        <f t="shared" si="1"/>
        <v/>
      </c>
      <c r="H26" s="312"/>
      <c r="I26" s="313"/>
      <c r="J26" s="180" t="str">
        <f t="shared" si="2"/>
        <v/>
      </c>
      <c r="K26" s="359" t="str">
        <f t="shared" si="3"/>
        <v/>
      </c>
      <c r="M26" s="316">
        <f t="shared" si="7"/>
        <v>4.5</v>
      </c>
      <c r="N26" s="317"/>
      <c r="O26" s="318">
        <f t="shared" si="8"/>
        <v>0</v>
      </c>
      <c r="P26" s="319">
        <f t="shared" si="4"/>
        <v>0</v>
      </c>
      <c r="Q26" s="114">
        <f t="shared" si="5"/>
        <v>0</v>
      </c>
      <c r="R26" s="76">
        <f t="shared" si="6"/>
        <v>0</v>
      </c>
      <c r="S26" s="320">
        <f t="shared" si="9"/>
        <v>0</v>
      </c>
      <c r="T26" s="295"/>
      <c r="U26" s="321">
        <f t="shared" si="10"/>
        <v>0</v>
      </c>
      <c r="V26" s="322">
        <f t="shared" si="11"/>
        <v>0</v>
      </c>
      <c r="W26" s="179"/>
    </row>
    <row r="27" spans="1:23" x14ac:dyDescent="0.35">
      <c r="B27" s="310">
        <v>23</v>
      </c>
      <c r="C27" s="311"/>
      <c r="D27" s="312"/>
      <c r="E27" s="313"/>
      <c r="F27" s="180" t="str">
        <f t="shared" si="0"/>
        <v/>
      </c>
      <c r="G27" s="359" t="str">
        <f t="shared" si="1"/>
        <v/>
      </c>
      <c r="H27" s="312"/>
      <c r="I27" s="313"/>
      <c r="J27" s="180" t="str">
        <f t="shared" si="2"/>
        <v/>
      </c>
      <c r="K27" s="359" t="str">
        <f t="shared" si="3"/>
        <v/>
      </c>
      <c r="M27" s="316">
        <f t="shared" si="7"/>
        <v>4.5</v>
      </c>
      <c r="N27" s="317"/>
      <c r="O27" s="318">
        <f t="shared" si="8"/>
        <v>0</v>
      </c>
      <c r="P27" s="319">
        <f t="shared" si="4"/>
        <v>0</v>
      </c>
      <c r="Q27" s="114">
        <f t="shared" si="5"/>
        <v>0</v>
      </c>
      <c r="R27" s="76">
        <f t="shared" si="6"/>
        <v>0</v>
      </c>
      <c r="S27" s="320">
        <f t="shared" si="9"/>
        <v>0</v>
      </c>
      <c r="U27" s="321">
        <f t="shared" si="10"/>
        <v>0</v>
      </c>
      <c r="V27" s="322">
        <f t="shared" si="11"/>
        <v>0</v>
      </c>
    </row>
    <row r="28" spans="1:23" ht="15" thickBot="1" x14ac:dyDescent="0.4">
      <c r="A28" s="360"/>
      <c r="B28" s="326">
        <v>24</v>
      </c>
      <c r="C28" s="327"/>
      <c r="D28" s="328"/>
      <c r="E28" s="329"/>
      <c r="F28" s="361" t="str">
        <f t="shared" si="0"/>
        <v/>
      </c>
      <c r="G28" s="362" t="str">
        <f t="shared" si="1"/>
        <v/>
      </c>
      <c r="H28" s="328"/>
      <c r="I28" s="329"/>
      <c r="J28" s="361" t="str">
        <f t="shared" si="2"/>
        <v/>
      </c>
      <c r="K28" s="362" t="str">
        <f t="shared" si="3"/>
        <v/>
      </c>
      <c r="L28" s="360"/>
      <c r="M28" s="332">
        <f t="shared" si="7"/>
        <v>4.5</v>
      </c>
      <c r="N28" s="333"/>
      <c r="O28" s="334">
        <f t="shared" si="8"/>
        <v>0</v>
      </c>
      <c r="P28" s="335">
        <f t="shared" si="4"/>
        <v>0</v>
      </c>
      <c r="Q28" s="336">
        <f t="shared" si="5"/>
        <v>0</v>
      </c>
      <c r="R28" s="337">
        <f t="shared" si="6"/>
        <v>0</v>
      </c>
      <c r="S28" s="338">
        <f t="shared" si="9"/>
        <v>0</v>
      </c>
      <c r="U28" s="339">
        <f t="shared" si="10"/>
        <v>0</v>
      </c>
      <c r="V28" s="340">
        <f t="shared" si="11"/>
        <v>0</v>
      </c>
    </row>
    <row r="29" spans="1:23" ht="15" thickTop="1" x14ac:dyDescent="0.35">
      <c r="B29" s="341">
        <v>25</v>
      </c>
      <c r="C29" s="342"/>
      <c r="D29" s="343"/>
      <c r="E29" s="344"/>
      <c r="F29" s="363" t="str">
        <f t="shared" si="0"/>
        <v/>
      </c>
      <c r="G29" s="364" t="str">
        <f t="shared" si="1"/>
        <v/>
      </c>
      <c r="H29" s="343"/>
      <c r="I29" s="344"/>
      <c r="J29" s="363" t="str">
        <f t="shared" si="2"/>
        <v/>
      </c>
      <c r="K29" s="364" t="str">
        <f t="shared" si="3"/>
        <v/>
      </c>
      <c r="M29" s="347">
        <f t="shared" si="7"/>
        <v>4.5</v>
      </c>
      <c r="N29" s="348"/>
      <c r="O29" s="349">
        <f t="shared" si="8"/>
        <v>0</v>
      </c>
      <c r="P29" s="350">
        <f t="shared" si="4"/>
        <v>0</v>
      </c>
      <c r="Q29" s="351">
        <f t="shared" si="5"/>
        <v>0</v>
      </c>
      <c r="R29" s="352">
        <f t="shared" si="6"/>
        <v>0</v>
      </c>
      <c r="S29" s="353">
        <f t="shared" si="9"/>
        <v>0</v>
      </c>
      <c r="U29" s="354">
        <f t="shared" si="10"/>
        <v>0</v>
      </c>
      <c r="V29" s="355">
        <f t="shared" si="11"/>
        <v>0</v>
      </c>
    </row>
    <row r="30" spans="1:23" x14ac:dyDescent="0.35">
      <c r="B30" s="310">
        <v>26</v>
      </c>
      <c r="C30" s="311"/>
      <c r="D30" s="312"/>
      <c r="E30" s="313"/>
      <c r="F30" s="180" t="str">
        <f t="shared" si="0"/>
        <v/>
      </c>
      <c r="G30" s="359" t="str">
        <f t="shared" si="1"/>
        <v/>
      </c>
      <c r="H30" s="312"/>
      <c r="I30" s="313"/>
      <c r="J30" s="180" t="str">
        <f t="shared" si="2"/>
        <v/>
      </c>
      <c r="K30" s="359" t="str">
        <f t="shared" si="3"/>
        <v/>
      </c>
      <c r="M30" s="316">
        <f t="shared" si="7"/>
        <v>4.5</v>
      </c>
      <c r="N30" s="317"/>
      <c r="O30" s="318">
        <f t="shared" si="8"/>
        <v>0</v>
      </c>
      <c r="P30" s="319">
        <f t="shared" si="4"/>
        <v>0</v>
      </c>
      <c r="Q30" s="114">
        <f t="shared" si="5"/>
        <v>0</v>
      </c>
      <c r="R30" s="76">
        <f t="shared" si="6"/>
        <v>0</v>
      </c>
      <c r="S30" s="320">
        <f t="shared" si="9"/>
        <v>0</v>
      </c>
      <c r="U30" s="321">
        <f t="shared" si="10"/>
        <v>0</v>
      </c>
      <c r="V30" s="322">
        <f t="shared" si="11"/>
        <v>0</v>
      </c>
    </row>
    <row r="31" spans="1:23" x14ac:dyDescent="0.35">
      <c r="B31" s="310">
        <v>27</v>
      </c>
      <c r="C31" s="311"/>
      <c r="D31" s="312"/>
      <c r="E31" s="313"/>
      <c r="F31" s="180" t="str">
        <f t="shared" si="0"/>
        <v/>
      </c>
      <c r="G31" s="359" t="str">
        <f t="shared" si="1"/>
        <v/>
      </c>
      <c r="H31" s="312"/>
      <c r="I31" s="313"/>
      <c r="J31" s="180" t="str">
        <f t="shared" si="2"/>
        <v/>
      </c>
      <c r="K31" s="359" t="str">
        <f t="shared" si="3"/>
        <v/>
      </c>
      <c r="M31" s="316">
        <f t="shared" si="7"/>
        <v>4.5</v>
      </c>
      <c r="N31" s="317"/>
      <c r="O31" s="318">
        <f t="shared" si="8"/>
        <v>0</v>
      </c>
      <c r="P31" s="319">
        <f t="shared" si="4"/>
        <v>0</v>
      </c>
      <c r="Q31" s="114">
        <f t="shared" si="5"/>
        <v>0</v>
      </c>
      <c r="R31" s="76">
        <f t="shared" si="6"/>
        <v>0</v>
      </c>
      <c r="S31" s="320">
        <f t="shared" si="9"/>
        <v>0</v>
      </c>
      <c r="U31" s="321">
        <f t="shared" si="10"/>
        <v>0</v>
      </c>
      <c r="V31" s="322">
        <f t="shared" si="11"/>
        <v>0</v>
      </c>
    </row>
    <row r="32" spans="1:23" x14ac:dyDescent="0.35">
      <c r="B32" s="310">
        <v>28</v>
      </c>
      <c r="C32" s="311"/>
      <c r="D32" s="312"/>
      <c r="E32" s="313"/>
      <c r="F32" s="180" t="str">
        <f t="shared" si="0"/>
        <v/>
      </c>
      <c r="G32" s="359" t="str">
        <f t="shared" si="1"/>
        <v/>
      </c>
      <c r="H32" s="312"/>
      <c r="I32" s="313"/>
      <c r="J32" s="180" t="str">
        <f t="shared" si="2"/>
        <v/>
      </c>
      <c r="K32" s="359" t="str">
        <f t="shared" si="3"/>
        <v/>
      </c>
      <c r="M32" s="316">
        <f t="shared" si="7"/>
        <v>4.5</v>
      </c>
      <c r="N32" s="317"/>
      <c r="O32" s="318">
        <f t="shared" si="8"/>
        <v>0</v>
      </c>
      <c r="P32" s="319">
        <f t="shared" si="4"/>
        <v>0</v>
      </c>
      <c r="Q32" s="114">
        <f t="shared" si="5"/>
        <v>0</v>
      </c>
      <c r="R32" s="76">
        <f t="shared" si="6"/>
        <v>0</v>
      </c>
      <c r="S32" s="320">
        <f t="shared" si="9"/>
        <v>0</v>
      </c>
      <c r="U32" s="321">
        <f t="shared" si="10"/>
        <v>0</v>
      </c>
      <c r="V32" s="322">
        <f t="shared" si="11"/>
        <v>0</v>
      </c>
    </row>
    <row r="33" spans="1:22" x14ac:dyDescent="0.35">
      <c r="B33" s="310">
        <v>29</v>
      </c>
      <c r="C33" s="311"/>
      <c r="D33" s="312"/>
      <c r="E33" s="313"/>
      <c r="F33" s="180" t="str">
        <f t="shared" si="0"/>
        <v/>
      </c>
      <c r="G33" s="359" t="str">
        <f t="shared" si="1"/>
        <v/>
      </c>
      <c r="H33" s="312"/>
      <c r="I33" s="313"/>
      <c r="J33" s="180" t="str">
        <f t="shared" si="2"/>
        <v/>
      </c>
      <c r="K33" s="359" t="str">
        <f t="shared" si="3"/>
        <v/>
      </c>
      <c r="M33" s="316">
        <f t="shared" si="7"/>
        <v>4.5</v>
      </c>
      <c r="N33" s="317"/>
      <c r="O33" s="318">
        <f t="shared" si="8"/>
        <v>0</v>
      </c>
      <c r="P33" s="319">
        <f t="shared" si="4"/>
        <v>0</v>
      </c>
      <c r="Q33" s="114">
        <f t="shared" si="5"/>
        <v>0</v>
      </c>
      <c r="R33" s="76">
        <f t="shared" si="6"/>
        <v>0</v>
      </c>
      <c r="S33" s="320">
        <f t="shared" si="9"/>
        <v>0</v>
      </c>
      <c r="U33" s="321">
        <f t="shared" si="10"/>
        <v>0</v>
      </c>
      <c r="V33" s="322">
        <f t="shared" si="11"/>
        <v>0</v>
      </c>
    </row>
    <row r="34" spans="1:22" x14ac:dyDescent="0.35">
      <c r="B34" s="310">
        <v>30</v>
      </c>
      <c r="C34" s="311"/>
      <c r="D34" s="312"/>
      <c r="E34" s="313"/>
      <c r="F34" s="180" t="str">
        <f t="shared" si="0"/>
        <v/>
      </c>
      <c r="G34" s="359" t="str">
        <f t="shared" si="1"/>
        <v/>
      </c>
      <c r="H34" s="312"/>
      <c r="I34" s="313"/>
      <c r="J34" s="180" t="str">
        <f t="shared" si="2"/>
        <v/>
      </c>
      <c r="K34" s="359" t="str">
        <f t="shared" si="3"/>
        <v/>
      </c>
      <c r="M34" s="316">
        <f t="shared" si="7"/>
        <v>4.5</v>
      </c>
      <c r="N34" s="317"/>
      <c r="O34" s="318">
        <f t="shared" si="8"/>
        <v>0</v>
      </c>
      <c r="P34" s="319">
        <f t="shared" si="4"/>
        <v>0</v>
      </c>
      <c r="Q34" s="114">
        <f t="shared" si="5"/>
        <v>0</v>
      </c>
      <c r="R34" s="76">
        <f t="shared" si="6"/>
        <v>0</v>
      </c>
      <c r="S34" s="320">
        <f t="shared" si="9"/>
        <v>0</v>
      </c>
      <c r="U34" s="321">
        <f t="shared" si="10"/>
        <v>0</v>
      </c>
      <c r="V34" s="322">
        <f t="shared" si="11"/>
        <v>0</v>
      </c>
    </row>
    <row r="35" spans="1:22" x14ac:dyDescent="0.35">
      <c r="B35" s="310">
        <v>31</v>
      </c>
      <c r="C35" s="311"/>
      <c r="D35" s="312"/>
      <c r="E35" s="313"/>
      <c r="F35" s="180" t="str">
        <f t="shared" si="0"/>
        <v/>
      </c>
      <c r="G35" s="359" t="str">
        <f t="shared" si="1"/>
        <v/>
      </c>
      <c r="H35" s="312"/>
      <c r="I35" s="313"/>
      <c r="J35" s="180" t="str">
        <f t="shared" si="2"/>
        <v/>
      </c>
      <c r="K35" s="359" t="str">
        <f t="shared" si="3"/>
        <v/>
      </c>
      <c r="M35" s="316">
        <f t="shared" si="7"/>
        <v>4.5</v>
      </c>
      <c r="N35" s="317"/>
      <c r="O35" s="318">
        <f t="shared" si="8"/>
        <v>0</v>
      </c>
      <c r="P35" s="319">
        <f>(N35/M35)</f>
        <v>0</v>
      </c>
      <c r="Q35" s="114">
        <f t="shared" si="5"/>
        <v>0</v>
      </c>
      <c r="R35" s="76">
        <f t="shared" si="6"/>
        <v>0</v>
      </c>
      <c r="S35" s="320">
        <f t="shared" si="9"/>
        <v>0</v>
      </c>
      <c r="U35" s="321">
        <f t="shared" si="10"/>
        <v>0</v>
      </c>
      <c r="V35" s="322">
        <f t="shared" si="11"/>
        <v>0</v>
      </c>
    </row>
    <row r="36" spans="1:22" ht="15" thickBot="1" x14ac:dyDescent="0.4">
      <c r="A36" s="360"/>
      <c r="B36" s="326">
        <v>32</v>
      </c>
      <c r="C36" s="327"/>
      <c r="D36" s="328"/>
      <c r="E36" s="329"/>
      <c r="F36" s="361" t="str">
        <f t="shared" si="0"/>
        <v/>
      </c>
      <c r="G36" s="362" t="str">
        <f t="shared" si="1"/>
        <v/>
      </c>
      <c r="H36" s="328"/>
      <c r="I36" s="329"/>
      <c r="J36" s="361" t="str">
        <f t="shared" si="2"/>
        <v/>
      </c>
      <c r="K36" s="362" t="str">
        <f t="shared" si="3"/>
        <v/>
      </c>
      <c r="L36" s="360"/>
      <c r="M36" s="332">
        <f t="shared" si="7"/>
        <v>4.5</v>
      </c>
      <c r="N36" s="333"/>
      <c r="O36" s="334">
        <f t="shared" si="8"/>
        <v>0</v>
      </c>
      <c r="P36" s="335">
        <f>(N36/M36)</f>
        <v>0</v>
      </c>
      <c r="Q36" s="336">
        <f t="shared" si="5"/>
        <v>0</v>
      </c>
      <c r="R36" s="337">
        <f t="shared" si="6"/>
        <v>0</v>
      </c>
      <c r="S36" s="338">
        <f t="shared" si="9"/>
        <v>0</v>
      </c>
      <c r="U36" s="356">
        <f t="shared" si="10"/>
        <v>0</v>
      </c>
      <c r="V36" s="357">
        <f t="shared" si="11"/>
        <v>0</v>
      </c>
    </row>
    <row r="37" spans="1:22" ht="15" thickTop="1" x14ac:dyDescent="0.35">
      <c r="B37" s="341">
        <v>33</v>
      </c>
      <c r="C37" s="342"/>
      <c r="D37" s="343"/>
      <c r="E37" s="344"/>
      <c r="F37" s="363" t="str">
        <f t="shared" si="0"/>
        <v/>
      </c>
      <c r="G37" s="364" t="str">
        <f t="shared" si="1"/>
        <v/>
      </c>
      <c r="H37" s="343"/>
      <c r="I37" s="344"/>
      <c r="J37" s="363" t="str">
        <f t="shared" si="2"/>
        <v/>
      </c>
      <c r="K37" s="364" t="str">
        <f t="shared" si="3"/>
        <v/>
      </c>
      <c r="M37" s="347">
        <f t="shared" si="7"/>
        <v>4.5</v>
      </c>
      <c r="N37" s="348"/>
      <c r="O37" s="349">
        <f t="shared" si="8"/>
        <v>0</v>
      </c>
      <c r="P37" s="350">
        <f t="shared" ref="P37:P42" si="12">(N37/M37)</f>
        <v>0</v>
      </c>
      <c r="Q37" s="351">
        <f t="shared" si="5"/>
        <v>0</v>
      </c>
      <c r="R37" s="352">
        <f t="shared" si="6"/>
        <v>0</v>
      </c>
      <c r="S37" s="353">
        <f t="shared" si="9"/>
        <v>0</v>
      </c>
      <c r="U37" s="307">
        <f t="shared" si="10"/>
        <v>0</v>
      </c>
      <c r="V37" s="308">
        <f t="shared" si="11"/>
        <v>0</v>
      </c>
    </row>
    <row r="38" spans="1:22" x14ac:dyDescent="0.35">
      <c r="B38" s="310">
        <v>34</v>
      </c>
      <c r="C38" s="311"/>
      <c r="D38" s="312"/>
      <c r="E38" s="313"/>
      <c r="F38" s="180" t="str">
        <f t="shared" si="0"/>
        <v/>
      </c>
      <c r="G38" s="359" t="str">
        <f t="shared" si="1"/>
        <v/>
      </c>
      <c r="H38" s="312"/>
      <c r="I38" s="313"/>
      <c r="J38" s="180" t="str">
        <f t="shared" si="2"/>
        <v/>
      </c>
      <c r="K38" s="359" t="str">
        <f t="shared" si="3"/>
        <v/>
      </c>
      <c r="M38" s="316">
        <f t="shared" si="7"/>
        <v>4.5</v>
      </c>
      <c r="N38" s="317"/>
      <c r="O38" s="318">
        <f t="shared" si="8"/>
        <v>0</v>
      </c>
      <c r="P38" s="319">
        <f t="shared" si="12"/>
        <v>0</v>
      </c>
      <c r="Q38" s="114">
        <f t="shared" si="5"/>
        <v>0</v>
      </c>
      <c r="R38" s="76">
        <f t="shared" si="6"/>
        <v>0</v>
      </c>
      <c r="S38" s="320">
        <f t="shared" si="9"/>
        <v>0</v>
      </c>
      <c r="U38" s="321">
        <f t="shared" si="10"/>
        <v>0</v>
      </c>
      <c r="V38" s="322">
        <f t="shared" si="11"/>
        <v>0</v>
      </c>
    </row>
    <row r="39" spans="1:22" x14ac:dyDescent="0.35">
      <c r="B39" s="310">
        <v>35</v>
      </c>
      <c r="C39" s="311"/>
      <c r="D39" s="312"/>
      <c r="E39" s="313"/>
      <c r="F39" s="180" t="str">
        <f t="shared" si="0"/>
        <v/>
      </c>
      <c r="G39" s="359" t="str">
        <f t="shared" si="1"/>
        <v/>
      </c>
      <c r="H39" s="312"/>
      <c r="I39" s="313"/>
      <c r="J39" s="180" t="str">
        <f t="shared" si="2"/>
        <v/>
      </c>
      <c r="K39" s="359" t="str">
        <f t="shared" si="3"/>
        <v/>
      </c>
      <c r="M39" s="316">
        <f t="shared" si="7"/>
        <v>4.5</v>
      </c>
      <c r="N39" s="317"/>
      <c r="O39" s="318">
        <f t="shared" si="8"/>
        <v>0</v>
      </c>
      <c r="P39" s="319">
        <f t="shared" si="12"/>
        <v>0</v>
      </c>
      <c r="Q39" s="114">
        <f t="shared" si="5"/>
        <v>0</v>
      </c>
      <c r="R39" s="76">
        <f t="shared" si="6"/>
        <v>0</v>
      </c>
      <c r="S39" s="320">
        <f t="shared" si="9"/>
        <v>0</v>
      </c>
      <c r="U39" s="321">
        <f t="shared" si="10"/>
        <v>0</v>
      </c>
      <c r="V39" s="322">
        <f t="shared" si="11"/>
        <v>0</v>
      </c>
    </row>
    <row r="40" spans="1:22" x14ac:dyDescent="0.35">
      <c r="B40" s="310">
        <v>36</v>
      </c>
      <c r="C40" s="311"/>
      <c r="D40" s="312"/>
      <c r="E40" s="313"/>
      <c r="F40" s="180" t="str">
        <f t="shared" si="0"/>
        <v/>
      </c>
      <c r="G40" s="359" t="str">
        <f t="shared" si="1"/>
        <v/>
      </c>
      <c r="H40" s="312"/>
      <c r="I40" s="313"/>
      <c r="J40" s="180" t="str">
        <f t="shared" si="2"/>
        <v/>
      </c>
      <c r="K40" s="359" t="str">
        <f t="shared" si="3"/>
        <v/>
      </c>
      <c r="M40" s="316">
        <f t="shared" si="7"/>
        <v>4.5</v>
      </c>
      <c r="N40" s="317"/>
      <c r="O40" s="318">
        <f t="shared" si="8"/>
        <v>0</v>
      </c>
      <c r="P40" s="319">
        <f t="shared" si="12"/>
        <v>0</v>
      </c>
      <c r="Q40" s="114">
        <f t="shared" si="5"/>
        <v>0</v>
      </c>
      <c r="R40" s="76">
        <f t="shared" si="6"/>
        <v>0</v>
      </c>
      <c r="S40" s="320">
        <f t="shared" si="9"/>
        <v>0</v>
      </c>
      <c r="U40" s="321">
        <f t="shared" si="10"/>
        <v>0</v>
      </c>
      <c r="V40" s="322">
        <f t="shared" si="11"/>
        <v>0</v>
      </c>
    </row>
    <row r="41" spans="1:22" x14ac:dyDescent="0.35">
      <c r="B41" s="310">
        <v>37</v>
      </c>
      <c r="C41" s="311"/>
      <c r="D41" s="312"/>
      <c r="E41" s="313"/>
      <c r="F41" s="180" t="str">
        <f t="shared" si="0"/>
        <v/>
      </c>
      <c r="G41" s="359" t="str">
        <f t="shared" si="1"/>
        <v/>
      </c>
      <c r="H41" s="312"/>
      <c r="I41" s="313"/>
      <c r="J41" s="180" t="str">
        <f t="shared" si="2"/>
        <v/>
      </c>
      <c r="K41" s="359" t="str">
        <f t="shared" si="3"/>
        <v/>
      </c>
      <c r="M41" s="316">
        <f t="shared" si="7"/>
        <v>4.5</v>
      </c>
      <c r="N41" s="317"/>
      <c r="O41" s="318">
        <f t="shared" si="8"/>
        <v>0</v>
      </c>
      <c r="P41" s="319">
        <f t="shared" si="12"/>
        <v>0</v>
      </c>
      <c r="Q41" s="114">
        <f t="shared" si="5"/>
        <v>0</v>
      </c>
      <c r="R41" s="76">
        <f t="shared" si="6"/>
        <v>0</v>
      </c>
      <c r="S41" s="320">
        <f t="shared" si="9"/>
        <v>0</v>
      </c>
      <c r="U41" s="321">
        <f t="shared" si="10"/>
        <v>0</v>
      </c>
      <c r="V41" s="322">
        <f t="shared" si="11"/>
        <v>0</v>
      </c>
    </row>
    <row r="42" spans="1:22" x14ac:dyDescent="0.35">
      <c r="B42" s="310">
        <v>38</v>
      </c>
      <c r="C42" s="311"/>
      <c r="D42" s="312"/>
      <c r="E42" s="313"/>
      <c r="F42" s="180" t="str">
        <f t="shared" si="0"/>
        <v/>
      </c>
      <c r="G42" s="359" t="str">
        <f t="shared" si="1"/>
        <v/>
      </c>
      <c r="H42" s="312"/>
      <c r="I42" s="313"/>
      <c r="J42" s="180" t="str">
        <f t="shared" si="2"/>
        <v/>
      </c>
      <c r="K42" s="359" t="str">
        <f t="shared" si="3"/>
        <v/>
      </c>
      <c r="M42" s="316">
        <f t="shared" si="7"/>
        <v>4.5</v>
      </c>
      <c r="N42" s="317"/>
      <c r="O42" s="318">
        <f t="shared" si="8"/>
        <v>0</v>
      </c>
      <c r="P42" s="319">
        <f t="shared" si="12"/>
        <v>0</v>
      </c>
      <c r="Q42" s="114">
        <f t="shared" si="5"/>
        <v>0</v>
      </c>
      <c r="R42" s="76">
        <f t="shared" si="6"/>
        <v>0</v>
      </c>
      <c r="S42" s="320">
        <f t="shared" si="9"/>
        <v>0</v>
      </c>
      <c r="U42" s="321">
        <f t="shared" si="10"/>
        <v>0</v>
      </c>
      <c r="V42" s="322">
        <f t="shared" si="11"/>
        <v>0</v>
      </c>
    </row>
    <row r="43" spans="1:22" x14ac:dyDescent="0.35">
      <c r="B43" s="310">
        <v>39</v>
      </c>
      <c r="C43" s="311"/>
      <c r="D43" s="312"/>
      <c r="E43" s="313"/>
      <c r="F43" s="180" t="str">
        <f t="shared" si="0"/>
        <v/>
      </c>
      <c r="G43" s="359" t="str">
        <f t="shared" si="1"/>
        <v/>
      </c>
      <c r="H43" s="312"/>
      <c r="I43" s="313"/>
      <c r="J43" s="180" t="str">
        <f t="shared" si="2"/>
        <v/>
      </c>
      <c r="K43" s="359" t="str">
        <f t="shared" si="3"/>
        <v/>
      </c>
      <c r="M43" s="316">
        <f t="shared" si="7"/>
        <v>4.5</v>
      </c>
      <c r="N43" s="317"/>
      <c r="O43" s="318">
        <f t="shared" si="8"/>
        <v>0</v>
      </c>
      <c r="P43" s="319">
        <f>(N43/M43)</f>
        <v>0</v>
      </c>
      <c r="Q43" s="114">
        <f t="shared" si="5"/>
        <v>0</v>
      </c>
      <c r="R43" s="76">
        <f t="shared" si="6"/>
        <v>0</v>
      </c>
      <c r="S43" s="320">
        <f t="shared" si="9"/>
        <v>0</v>
      </c>
      <c r="U43" s="321">
        <f t="shared" si="10"/>
        <v>0</v>
      </c>
      <c r="V43" s="322">
        <f t="shared" si="11"/>
        <v>0</v>
      </c>
    </row>
    <row r="44" spans="1:22" ht="15" thickBot="1" x14ac:dyDescent="0.4">
      <c r="A44" s="360"/>
      <c r="B44" s="326">
        <v>40</v>
      </c>
      <c r="C44" s="327"/>
      <c r="D44" s="328"/>
      <c r="E44" s="329"/>
      <c r="F44" s="361" t="str">
        <f t="shared" si="0"/>
        <v/>
      </c>
      <c r="G44" s="362" t="str">
        <f t="shared" si="1"/>
        <v/>
      </c>
      <c r="H44" s="328"/>
      <c r="I44" s="329"/>
      <c r="J44" s="361" t="str">
        <f t="shared" si="2"/>
        <v/>
      </c>
      <c r="K44" s="362" t="str">
        <f t="shared" si="3"/>
        <v/>
      </c>
      <c r="L44" s="360"/>
      <c r="M44" s="332">
        <f t="shared" si="7"/>
        <v>4.5</v>
      </c>
      <c r="N44" s="333"/>
      <c r="O44" s="334">
        <f t="shared" si="8"/>
        <v>0</v>
      </c>
      <c r="P44" s="335">
        <f>(N44/M44)</f>
        <v>0</v>
      </c>
      <c r="Q44" s="336">
        <f t="shared" si="5"/>
        <v>0</v>
      </c>
      <c r="R44" s="337">
        <f t="shared" si="6"/>
        <v>0</v>
      </c>
      <c r="S44" s="338">
        <f t="shared" si="9"/>
        <v>0</v>
      </c>
      <c r="U44" s="356">
        <f t="shared" si="10"/>
        <v>0</v>
      </c>
      <c r="V44" s="357">
        <f t="shared" si="11"/>
        <v>0</v>
      </c>
    </row>
    <row r="45" spans="1:22" ht="15" hidden="1" thickTop="1" x14ac:dyDescent="0.35"/>
  </sheetData>
  <sheetProtection algorithmName="SHA-512" hashValue="zuUQ4uHoCFeFPjafzt5/c/0UHqlr57KW51GBt5do4vot5V/i9viUAZhAMAMRxLBXIrv9LZ4/S/LjzeuSVtz4jA==" saltValue="eKZYOoj1v3xNAhU5w7xNdA==" spinCount="100000" sheet="1" objects="1" scenarios="1" selectLockedCells="1"/>
  <mergeCells count="16">
    <mergeCell ref="B1:K1"/>
    <mergeCell ref="M1:S1"/>
    <mergeCell ref="U1:V1"/>
    <mergeCell ref="B2:E2"/>
    <mergeCell ref="G2:I2"/>
    <mergeCell ref="J2:K2"/>
    <mergeCell ref="M2:S2"/>
    <mergeCell ref="P3:R3"/>
    <mergeCell ref="U3:U4"/>
    <mergeCell ref="V3:V4"/>
    <mergeCell ref="B3:E3"/>
    <mergeCell ref="G3:I3"/>
    <mergeCell ref="J3:K3"/>
    <mergeCell ref="M3:M4"/>
    <mergeCell ref="N3:N4"/>
    <mergeCell ref="O3:O4"/>
  </mergeCells>
  <conditionalFormatting sqref="R6:R44">
    <cfRule type="cellIs" dxfId="3" priority="1" operator="lessThan">
      <formula>0.0000115740740740741</formula>
    </cfRule>
  </conditionalFormatting>
  <dataValidations count="1">
    <dataValidation type="list" allowBlank="1" showInputMessage="1" showErrorMessage="1" sqref="E5:E44 F26:F44 I5:I123 E45:F123" xr:uid="{2932DACA-9FF7-4362-A50E-842E097E1613}">
      <formula1>$X$5:$X$6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A36" sqref="A36:C38"/>
    </sheetView>
  </sheetViews>
  <sheetFormatPr defaultColWidth="0" defaultRowHeight="14.5" zeroHeight="1" x14ac:dyDescent="0.35"/>
  <cols>
    <col min="1" max="1" width="10.1796875" customWidth="1"/>
    <col min="2" max="2" width="14.54296875" customWidth="1"/>
    <col min="3" max="3" width="10.90625" customWidth="1"/>
    <col min="4" max="4" width="3.1796875" customWidth="1"/>
    <col min="5" max="7" width="12.08984375" customWidth="1"/>
    <col min="8" max="12" width="9.1796875" customWidth="1"/>
    <col min="13" max="16384" width="9.1796875" hidden="1"/>
  </cols>
  <sheetData>
    <row r="1" spans="1:10" ht="7.5" customHeight="1" thickBot="1" x14ac:dyDescent="0.4"/>
    <row r="2" spans="1:10" ht="18.5" x14ac:dyDescent="0.45">
      <c r="A2" s="534" t="s">
        <v>151</v>
      </c>
      <c r="B2" s="535"/>
      <c r="C2" s="104">
        <v>880</v>
      </c>
      <c r="E2" s="525" t="s">
        <v>150</v>
      </c>
      <c r="F2" s="526"/>
      <c r="G2" s="527"/>
    </row>
    <row r="3" spans="1:10" ht="19" thickBot="1" x14ac:dyDescent="0.5">
      <c r="A3" s="536" t="s">
        <v>149</v>
      </c>
      <c r="B3" s="537"/>
      <c r="C3" s="103">
        <v>20</v>
      </c>
      <c r="E3" s="528"/>
      <c r="F3" s="529"/>
      <c r="G3" s="530"/>
    </row>
    <row r="4" spans="1:10" ht="13.5" customHeight="1" thickBot="1" x14ac:dyDescent="0.5">
      <c r="A4" s="102"/>
      <c r="B4" s="98"/>
      <c r="C4" s="97"/>
      <c r="E4" s="528"/>
      <c r="F4" s="529"/>
      <c r="G4" s="530"/>
    </row>
    <row r="5" spans="1:10" ht="18.5" x14ac:dyDescent="0.45">
      <c r="A5" s="538" t="s">
        <v>148</v>
      </c>
      <c r="B5" s="539"/>
      <c r="C5" s="101">
        <f>C2</f>
        <v>880</v>
      </c>
      <c r="E5" s="528"/>
      <c r="F5" s="529"/>
      <c r="G5" s="530"/>
      <c r="J5" t="s">
        <v>147</v>
      </c>
    </row>
    <row r="6" spans="1:10" ht="18.5" x14ac:dyDescent="0.45">
      <c r="A6" s="540" t="s">
        <v>146</v>
      </c>
      <c r="B6" s="541"/>
      <c r="C6" s="100">
        <f>(C2*(C3/100))</f>
        <v>176</v>
      </c>
      <c r="E6" s="528"/>
      <c r="F6" s="529"/>
      <c r="G6" s="530"/>
      <c r="J6" t="s">
        <v>145</v>
      </c>
    </row>
    <row r="7" spans="1:10" ht="19" thickBot="1" x14ac:dyDescent="0.5">
      <c r="A7" s="542" t="s">
        <v>144</v>
      </c>
      <c r="B7" s="543"/>
      <c r="C7" s="99">
        <f>C5-C6</f>
        <v>704</v>
      </c>
      <c r="E7" s="531"/>
      <c r="F7" s="532"/>
      <c r="G7" s="533"/>
      <c r="J7" t="s">
        <v>143</v>
      </c>
    </row>
    <row r="8" spans="1:10" ht="10.5" customHeight="1" thickBot="1" x14ac:dyDescent="0.5">
      <c r="A8" s="98"/>
      <c r="B8" s="98"/>
      <c r="C8" s="97"/>
    </row>
    <row r="9" spans="1:10" ht="21.5" thickBot="1" x14ac:dyDescent="0.4">
      <c r="A9" s="522" t="s">
        <v>142</v>
      </c>
      <c r="B9" s="523"/>
      <c r="C9" s="524"/>
      <c r="E9" s="522" t="s">
        <v>142</v>
      </c>
      <c r="F9" s="523"/>
      <c r="G9" s="524"/>
    </row>
    <row r="10" spans="1:10" ht="33.5" thickBot="1" x14ac:dyDescent="0.4">
      <c r="A10" s="92" t="s">
        <v>141</v>
      </c>
      <c r="B10" s="91" t="s">
        <v>139</v>
      </c>
      <c r="C10" s="90" t="s">
        <v>138</v>
      </c>
      <c r="E10" s="92" t="s">
        <v>140</v>
      </c>
      <c r="F10" s="91" t="s">
        <v>139</v>
      </c>
      <c r="G10" s="90" t="s">
        <v>138</v>
      </c>
    </row>
    <row r="11" spans="1:10" ht="19" thickBot="1" x14ac:dyDescent="0.5">
      <c r="A11" s="96">
        <v>3.2</v>
      </c>
      <c r="B11" s="95">
        <f>($C$7/A11)</f>
        <v>220</v>
      </c>
      <c r="C11" s="93">
        <f>(B11/2)</f>
        <v>110</v>
      </c>
      <c r="E11" s="94">
        <v>0.31</v>
      </c>
      <c r="F11" s="79">
        <f>(E11*$C$7)</f>
        <v>218.24</v>
      </c>
      <c r="G11" s="93">
        <f>(F11/2)</f>
        <v>109.12</v>
      </c>
    </row>
    <row r="12" spans="1:10" ht="15" thickBot="1" x14ac:dyDescent="0.4"/>
    <row r="13" spans="1:10" ht="33.5" thickBot="1" x14ac:dyDescent="0.4">
      <c r="A13" s="92" t="s">
        <v>141</v>
      </c>
      <c r="B13" s="91" t="s">
        <v>139</v>
      </c>
      <c r="C13" s="90" t="s">
        <v>138</v>
      </c>
      <c r="D13" s="84"/>
      <c r="E13" s="92" t="s">
        <v>140</v>
      </c>
      <c r="F13" s="91" t="s">
        <v>139</v>
      </c>
      <c r="G13" s="90" t="s">
        <v>138</v>
      </c>
    </row>
    <row r="14" spans="1:10" ht="18.5" x14ac:dyDescent="0.45">
      <c r="A14" s="89">
        <v>1</v>
      </c>
      <c r="B14" s="88">
        <f t="shared" ref="B14:B34" si="0">($C$7/A14)</f>
        <v>704</v>
      </c>
      <c r="C14" s="87">
        <f t="shared" ref="C14:C34" si="1">(B14/2)</f>
        <v>352</v>
      </c>
      <c r="D14" s="84"/>
      <c r="E14" s="83">
        <v>0.06</v>
      </c>
      <c r="F14" s="82">
        <f t="shared" ref="F14:F38" si="2">(E14*$C$7)</f>
        <v>42.239999999999995</v>
      </c>
      <c r="G14" s="87">
        <f t="shared" ref="G14:G38" si="3">(F14/2)</f>
        <v>21.119999999999997</v>
      </c>
    </row>
    <row r="15" spans="1:10" ht="18.5" x14ac:dyDescent="0.45">
      <c r="A15" s="86">
        <v>1.2</v>
      </c>
      <c r="B15" s="82">
        <f t="shared" si="0"/>
        <v>586.66666666666674</v>
      </c>
      <c r="C15" s="81">
        <f t="shared" si="1"/>
        <v>293.33333333333337</v>
      </c>
      <c r="D15" s="84"/>
      <c r="E15" s="83">
        <v>0.09</v>
      </c>
      <c r="F15" s="82">
        <f t="shared" si="2"/>
        <v>63.36</v>
      </c>
      <c r="G15" s="81">
        <f t="shared" si="3"/>
        <v>31.68</v>
      </c>
    </row>
    <row r="16" spans="1:10" ht="18.5" x14ac:dyDescent="0.45">
      <c r="A16" s="86">
        <v>1.4</v>
      </c>
      <c r="B16" s="82">
        <f t="shared" si="0"/>
        <v>502.85714285714289</v>
      </c>
      <c r="C16" s="81">
        <f t="shared" si="1"/>
        <v>251.42857142857144</v>
      </c>
      <c r="D16" s="84"/>
      <c r="E16" s="83">
        <v>0.12</v>
      </c>
      <c r="F16" s="82">
        <f t="shared" si="2"/>
        <v>84.47999999999999</v>
      </c>
      <c r="G16" s="81">
        <f t="shared" si="3"/>
        <v>42.239999999999995</v>
      </c>
    </row>
    <row r="17" spans="1:7" ht="18.5" x14ac:dyDescent="0.45">
      <c r="A17" s="86">
        <v>1.6</v>
      </c>
      <c r="B17" s="82">
        <f t="shared" si="0"/>
        <v>440</v>
      </c>
      <c r="C17" s="81">
        <f t="shared" si="1"/>
        <v>220</v>
      </c>
      <c r="D17" s="84"/>
      <c r="E17" s="83">
        <v>0.15</v>
      </c>
      <c r="F17" s="82">
        <f t="shared" si="2"/>
        <v>105.6</v>
      </c>
      <c r="G17" s="81">
        <f t="shared" si="3"/>
        <v>52.8</v>
      </c>
    </row>
    <row r="18" spans="1:7" ht="18.5" x14ac:dyDescent="0.45">
      <c r="A18" s="86">
        <v>1.8</v>
      </c>
      <c r="B18" s="82">
        <f t="shared" si="0"/>
        <v>391.11111111111109</v>
      </c>
      <c r="C18" s="81">
        <f t="shared" si="1"/>
        <v>195.55555555555554</v>
      </c>
      <c r="D18" s="84"/>
      <c r="E18" s="83">
        <v>0.18</v>
      </c>
      <c r="F18" s="82">
        <f t="shared" si="2"/>
        <v>126.72</v>
      </c>
      <c r="G18" s="81">
        <f t="shared" si="3"/>
        <v>63.36</v>
      </c>
    </row>
    <row r="19" spans="1:7" ht="18.5" x14ac:dyDescent="0.45">
      <c r="A19" s="86">
        <v>2</v>
      </c>
      <c r="B19" s="82">
        <f t="shared" si="0"/>
        <v>352</v>
      </c>
      <c r="C19" s="81">
        <f t="shared" si="1"/>
        <v>176</v>
      </c>
      <c r="D19" s="84"/>
      <c r="E19" s="83">
        <v>0.21</v>
      </c>
      <c r="F19" s="82">
        <f t="shared" si="2"/>
        <v>147.84</v>
      </c>
      <c r="G19" s="81">
        <f t="shared" si="3"/>
        <v>73.92</v>
      </c>
    </row>
    <row r="20" spans="1:7" ht="18.5" x14ac:dyDescent="0.45">
      <c r="A20" s="86">
        <v>2.2000000000000002</v>
      </c>
      <c r="B20" s="82">
        <f t="shared" si="0"/>
        <v>320</v>
      </c>
      <c r="C20" s="81">
        <f t="shared" si="1"/>
        <v>160</v>
      </c>
      <c r="D20" s="84"/>
      <c r="E20" s="83">
        <v>0.24</v>
      </c>
      <c r="F20" s="82">
        <f t="shared" si="2"/>
        <v>168.95999999999998</v>
      </c>
      <c r="G20" s="81">
        <f t="shared" si="3"/>
        <v>84.47999999999999</v>
      </c>
    </row>
    <row r="21" spans="1:7" ht="18.5" x14ac:dyDescent="0.45">
      <c r="A21" s="86">
        <v>2.4</v>
      </c>
      <c r="B21" s="82">
        <f t="shared" si="0"/>
        <v>293.33333333333337</v>
      </c>
      <c r="C21" s="81">
        <f t="shared" si="1"/>
        <v>146.66666666666669</v>
      </c>
      <c r="D21" s="84"/>
      <c r="E21" s="83">
        <v>0.27</v>
      </c>
      <c r="F21" s="82">
        <f t="shared" si="2"/>
        <v>190.08</v>
      </c>
      <c r="G21" s="81">
        <f t="shared" si="3"/>
        <v>95.04</v>
      </c>
    </row>
    <row r="22" spans="1:7" ht="18.5" x14ac:dyDescent="0.45">
      <c r="A22" s="86">
        <v>2.6</v>
      </c>
      <c r="B22" s="82">
        <f t="shared" si="0"/>
        <v>270.76923076923077</v>
      </c>
      <c r="C22" s="81">
        <f t="shared" si="1"/>
        <v>135.38461538461539</v>
      </c>
      <c r="D22" s="84"/>
      <c r="E22" s="83">
        <v>0.3</v>
      </c>
      <c r="F22" s="82">
        <f t="shared" si="2"/>
        <v>211.2</v>
      </c>
      <c r="G22" s="81">
        <f t="shared" si="3"/>
        <v>105.6</v>
      </c>
    </row>
    <row r="23" spans="1:7" ht="18.5" x14ac:dyDescent="0.45">
      <c r="A23" s="86">
        <v>2.8</v>
      </c>
      <c r="B23" s="82">
        <f t="shared" si="0"/>
        <v>251.42857142857144</v>
      </c>
      <c r="C23" s="81">
        <f t="shared" si="1"/>
        <v>125.71428571428572</v>
      </c>
      <c r="D23" s="84"/>
      <c r="E23" s="83">
        <v>0.33</v>
      </c>
      <c r="F23" s="82">
        <f t="shared" si="2"/>
        <v>232.32000000000002</v>
      </c>
      <c r="G23" s="81">
        <f t="shared" si="3"/>
        <v>116.16000000000001</v>
      </c>
    </row>
    <row r="24" spans="1:7" ht="18.5" x14ac:dyDescent="0.45">
      <c r="A24" s="86">
        <v>3</v>
      </c>
      <c r="B24" s="82">
        <f t="shared" si="0"/>
        <v>234.66666666666666</v>
      </c>
      <c r="C24" s="81">
        <f t="shared" si="1"/>
        <v>117.33333333333333</v>
      </c>
      <c r="D24" s="84"/>
      <c r="E24" s="83">
        <v>0.36</v>
      </c>
      <c r="F24" s="82">
        <f t="shared" si="2"/>
        <v>253.44</v>
      </c>
      <c r="G24" s="81">
        <f t="shared" si="3"/>
        <v>126.72</v>
      </c>
    </row>
    <row r="25" spans="1:7" ht="18.5" x14ac:dyDescent="0.45">
      <c r="A25" s="86">
        <v>3.2</v>
      </c>
      <c r="B25" s="82">
        <f t="shared" si="0"/>
        <v>220</v>
      </c>
      <c r="C25" s="81">
        <f t="shared" si="1"/>
        <v>110</v>
      </c>
      <c r="D25" s="84"/>
      <c r="E25" s="83">
        <v>0.39</v>
      </c>
      <c r="F25" s="82">
        <f t="shared" si="2"/>
        <v>274.56</v>
      </c>
      <c r="G25" s="81">
        <f t="shared" si="3"/>
        <v>137.28</v>
      </c>
    </row>
    <row r="26" spans="1:7" ht="18.5" x14ac:dyDescent="0.45">
      <c r="A26" s="86">
        <v>3.4</v>
      </c>
      <c r="B26" s="82">
        <f t="shared" si="0"/>
        <v>207.05882352941177</v>
      </c>
      <c r="C26" s="81">
        <f t="shared" si="1"/>
        <v>103.52941176470588</v>
      </c>
      <c r="D26" s="84"/>
      <c r="E26" s="83">
        <v>0.42</v>
      </c>
      <c r="F26" s="82">
        <f t="shared" si="2"/>
        <v>295.68</v>
      </c>
      <c r="G26" s="81">
        <f t="shared" si="3"/>
        <v>147.84</v>
      </c>
    </row>
    <row r="27" spans="1:7" ht="18.5" x14ac:dyDescent="0.45">
      <c r="A27" s="86">
        <v>3.6</v>
      </c>
      <c r="B27" s="82">
        <f t="shared" si="0"/>
        <v>195.55555555555554</v>
      </c>
      <c r="C27" s="81">
        <f t="shared" si="1"/>
        <v>97.777777777777771</v>
      </c>
      <c r="D27" s="84"/>
      <c r="E27" s="83">
        <v>0.45</v>
      </c>
      <c r="F27" s="82">
        <f t="shared" si="2"/>
        <v>316.8</v>
      </c>
      <c r="G27" s="81">
        <f t="shared" si="3"/>
        <v>158.4</v>
      </c>
    </row>
    <row r="28" spans="1:7" ht="18.5" x14ac:dyDescent="0.45">
      <c r="A28" s="86">
        <v>3.8</v>
      </c>
      <c r="B28" s="82">
        <f t="shared" si="0"/>
        <v>185.26315789473685</v>
      </c>
      <c r="C28" s="81">
        <f t="shared" si="1"/>
        <v>92.631578947368425</v>
      </c>
      <c r="D28" s="84"/>
      <c r="E28" s="83">
        <v>0.48</v>
      </c>
      <c r="F28" s="82">
        <f t="shared" si="2"/>
        <v>337.91999999999996</v>
      </c>
      <c r="G28" s="81">
        <f t="shared" si="3"/>
        <v>168.95999999999998</v>
      </c>
    </row>
    <row r="29" spans="1:7" ht="18.5" x14ac:dyDescent="0.45">
      <c r="A29" s="86">
        <v>4</v>
      </c>
      <c r="B29" s="82">
        <f t="shared" si="0"/>
        <v>176</v>
      </c>
      <c r="C29" s="81">
        <f t="shared" si="1"/>
        <v>88</v>
      </c>
      <c r="D29" s="84"/>
      <c r="E29" s="83">
        <v>0.51</v>
      </c>
      <c r="F29" s="82">
        <f t="shared" si="2"/>
        <v>359.04</v>
      </c>
      <c r="G29" s="81">
        <f t="shared" si="3"/>
        <v>179.52</v>
      </c>
    </row>
    <row r="30" spans="1:7" ht="18.5" x14ac:dyDescent="0.45">
      <c r="A30" s="86">
        <v>4.2</v>
      </c>
      <c r="B30" s="82">
        <f t="shared" si="0"/>
        <v>167.61904761904762</v>
      </c>
      <c r="C30" s="81">
        <f t="shared" si="1"/>
        <v>83.80952380952381</v>
      </c>
      <c r="D30" s="84"/>
      <c r="E30" s="83">
        <v>0.54</v>
      </c>
      <c r="F30" s="82">
        <f t="shared" si="2"/>
        <v>380.16</v>
      </c>
      <c r="G30" s="81">
        <f t="shared" si="3"/>
        <v>190.08</v>
      </c>
    </row>
    <row r="31" spans="1:7" ht="18.5" x14ac:dyDescent="0.45">
      <c r="A31" s="86">
        <v>4.4000000000000004</v>
      </c>
      <c r="B31" s="82">
        <f t="shared" si="0"/>
        <v>160</v>
      </c>
      <c r="C31" s="81">
        <f t="shared" si="1"/>
        <v>80</v>
      </c>
      <c r="D31" s="84"/>
      <c r="E31" s="83">
        <v>0.56999999999999995</v>
      </c>
      <c r="F31" s="82">
        <f t="shared" si="2"/>
        <v>401.28</v>
      </c>
      <c r="G31" s="81">
        <f t="shared" si="3"/>
        <v>200.64</v>
      </c>
    </row>
    <row r="32" spans="1:7" ht="18.5" x14ac:dyDescent="0.45">
      <c r="A32" s="86">
        <v>4.5999999999999996</v>
      </c>
      <c r="B32" s="82">
        <f t="shared" si="0"/>
        <v>153.04347826086959</v>
      </c>
      <c r="C32" s="81">
        <f t="shared" si="1"/>
        <v>76.521739130434796</v>
      </c>
      <c r="D32" s="84"/>
      <c r="E32" s="83">
        <v>0.6</v>
      </c>
      <c r="F32" s="82">
        <f t="shared" si="2"/>
        <v>422.4</v>
      </c>
      <c r="G32" s="81">
        <f t="shared" si="3"/>
        <v>211.2</v>
      </c>
    </row>
    <row r="33" spans="1:7" ht="18.5" x14ac:dyDescent="0.45">
      <c r="A33" s="86">
        <v>4.8</v>
      </c>
      <c r="B33" s="82">
        <f t="shared" si="0"/>
        <v>146.66666666666669</v>
      </c>
      <c r="C33" s="81">
        <f t="shared" si="1"/>
        <v>73.333333333333343</v>
      </c>
      <c r="D33" s="84"/>
      <c r="E33" s="83">
        <v>0.63</v>
      </c>
      <c r="F33" s="82">
        <f t="shared" si="2"/>
        <v>443.52</v>
      </c>
      <c r="G33" s="81">
        <f t="shared" si="3"/>
        <v>221.76</v>
      </c>
    </row>
    <row r="34" spans="1:7" ht="19" thickBot="1" x14ac:dyDescent="0.5">
      <c r="A34" s="85">
        <v>5</v>
      </c>
      <c r="B34" s="79">
        <f t="shared" si="0"/>
        <v>140.80000000000001</v>
      </c>
      <c r="C34" s="78">
        <f t="shared" si="1"/>
        <v>70.400000000000006</v>
      </c>
      <c r="D34" s="84"/>
      <c r="E34" s="83">
        <v>0.66</v>
      </c>
      <c r="F34" s="82">
        <f t="shared" si="2"/>
        <v>464.64000000000004</v>
      </c>
      <c r="G34" s="81">
        <f t="shared" si="3"/>
        <v>232.32000000000002</v>
      </c>
    </row>
    <row r="35" spans="1:7" ht="18.5" x14ac:dyDescent="0.45">
      <c r="E35" s="83">
        <v>0.69</v>
      </c>
      <c r="F35" s="82">
        <f t="shared" si="2"/>
        <v>485.76</v>
      </c>
      <c r="G35" s="81">
        <f t="shared" si="3"/>
        <v>242.88</v>
      </c>
    </row>
    <row r="36" spans="1:7" ht="18.5" x14ac:dyDescent="0.45">
      <c r="A36" s="521" t="s">
        <v>368</v>
      </c>
      <c r="B36" s="521"/>
      <c r="C36" s="521"/>
      <c r="E36" s="83">
        <v>0.72</v>
      </c>
      <c r="F36" s="82">
        <f t="shared" si="2"/>
        <v>506.88</v>
      </c>
      <c r="G36" s="81">
        <f t="shared" si="3"/>
        <v>253.44</v>
      </c>
    </row>
    <row r="37" spans="1:7" ht="18.5" x14ac:dyDescent="0.45">
      <c r="A37" s="521"/>
      <c r="B37" s="521"/>
      <c r="C37" s="521"/>
      <c r="E37" s="83">
        <v>0.75</v>
      </c>
      <c r="F37" s="82">
        <f t="shared" si="2"/>
        <v>528</v>
      </c>
      <c r="G37" s="81">
        <f t="shared" si="3"/>
        <v>264</v>
      </c>
    </row>
    <row r="38" spans="1:7" ht="19" thickBot="1" x14ac:dyDescent="0.5">
      <c r="A38" s="521"/>
      <c r="B38" s="521"/>
      <c r="C38" s="521"/>
      <c r="E38" s="80">
        <v>0.99</v>
      </c>
      <c r="F38" s="79">
        <f t="shared" si="2"/>
        <v>696.96</v>
      </c>
      <c r="G38" s="78">
        <f t="shared" si="3"/>
        <v>348.48</v>
      </c>
    </row>
  </sheetData>
  <sheetProtection algorithmName="SHA-512" hashValue="OJix7Ddg6hlhd7wBBQ8/Gy3EIr+SUOCeW68Gi+8uo5jozf0QQ47jpw9BN+limziouCeSoCleFroTR94iuQf6Sw==" saltValue="vfc8qUHHy0rHry9R4LTw8Q==" spinCount="100000" sheet="1" objects="1" scenarios="1"/>
  <mergeCells count="9">
    <mergeCell ref="A36:C38"/>
    <mergeCell ref="E9:G9"/>
    <mergeCell ref="E2:G7"/>
    <mergeCell ref="A2:B2"/>
    <mergeCell ref="A3:B3"/>
    <mergeCell ref="A9:C9"/>
    <mergeCell ref="A5:B5"/>
    <mergeCell ref="A6:B6"/>
    <mergeCell ref="A7:B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4"/>
  <sheetViews>
    <sheetView workbookViewId="0">
      <selection activeCell="B29" sqref="B29"/>
    </sheetView>
  </sheetViews>
  <sheetFormatPr defaultColWidth="0" defaultRowHeight="14.5" zeroHeight="1" x14ac:dyDescent="0.35"/>
  <cols>
    <col min="1" max="1" width="2.81640625" customWidth="1"/>
    <col min="2" max="2" width="10.7265625" bestFit="1" customWidth="1"/>
    <col min="3" max="9" width="9.90625" customWidth="1"/>
    <col min="10" max="10" width="6.08984375" customWidth="1"/>
    <col min="11" max="11" width="9.90625" customWidth="1"/>
    <col min="12" max="13" width="10.90625" customWidth="1"/>
    <col min="14" max="14" width="11.7265625" customWidth="1"/>
    <col min="15" max="15" width="2.81640625" customWidth="1"/>
    <col min="16" max="17" width="0" hidden="1" customWidth="1"/>
    <col min="18" max="16384" width="9.1796875" hidden="1"/>
  </cols>
  <sheetData>
    <row r="1" spans="1:17" ht="15" thickBot="1" x14ac:dyDescent="0.4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33" customHeight="1" thickBot="1" x14ac:dyDescent="0.75">
      <c r="A2" s="63"/>
      <c r="B2" s="590" t="s">
        <v>160</v>
      </c>
      <c r="C2" s="591"/>
      <c r="D2" s="591"/>
      <c r="E2" s="591"/>
      <c r="F2" s="591"/>
      <c r="G2" s="591"/>
      <c r="H2" s="591"/>
      <c r="I2" s="591"/>
      <c r="J2" s="592"/>
      <c r="K2" s="119"/>
      <c r="L2" s="559" t="s">
        <v>167</v>
      </c>
      <c r="M2" s="560"/>
      <c r="N2" s="561"/>
      <c r="O2" s="63"/>
    </row>
    <row r="3" spans="1:17" ht="18.5" x14ac:dyDescent="0.45">
      <c r="A3" s="63"/>
      <c r="B3" s="580" t="s">
        <v>159</v>
      </c>
      <c r="C3" s="581"/>
      <c r="D3" s="582">
        <v>45653</v>
      </c>
      <c r="E3" s="583"/>
      <c r="F3" s="593" t="s">
        <v>228</v>
      </c>
      <c r="G3" s="594"/>
      <c r="H3" s="594"/>
      <c r="I3" s="594"/>
      <c r="J3" s="595"/>
      <c r="K3" s="117"/>
      <c r="L3" s="562"/>
      <c r="M3" s="563"/>
      <c r="N3" s="564"/>
      <c r="O3" s="63"/>
    </row>
    <row r="4" spans="1:17" ht="18.75" customHeight="1" x14ac:dyDescent="0.45">
      <c r="A4" s="63"/>
      <c r="B4" s="584" t="s">
        <v>158</v>
      </c>
      <c r="C4" s="585"/>
      <c r="D4" s="585">
        <v>3</v>
      </c>
      <c r="E4" s="586"/>
      <c r="F4" s="593"/>
      <c r="G4" s="594"/>
      <c r="H4" s="594"/>
      <c r="I4" s="594"/>
      <c r="J4" s="595"/>
      <c r="K4" s="117"/>
      <c r="L4" s="565">
        <v>870</v>
      </c>
      <c r="M4" s="566"/>
      <c r="N4" s="567"/>
      <c r="O4" s="63"/>
    </row>
    <row r="5" spans="1:17" ht="19.5" customHeight="1" thickBot="1" x14ac:dyDescent="0.5">
      <c r="A5" s="63"/>
      <c r="B5" s="587" t="s">
        <v>157</v>
      </c>
      <c r="C5" s="588"/>
      <c r="D5" s="588">
        <v>880</v>
      </c>
      <c r="E5" s="589"/>
      <c r="F5" s="596"/>
      <c r="G5" s="597"/>
      <c r="H5" s="597"/>
      <c r="I5" s="597"/>
      <c r="J5" s="598"/>
      <c r="K5" s="117"/>
      <c r="L5" s="568"/>
      <c r="M5" s="569"/>
      <c r="N5" s="570"/>
      <c r="O5" s="63"/>
    </row>
    <row r="6" spans="1:17" ht="19.5" thickTop="1" thickBot="1" x14ac:dyDescent="0.5">
      <c r="A6" s="63"/>
      <c r="B6" s="117"/>
      <c r="C6" s="117"/>
      <c r="D6" s="117"/>
      <c r="E6" s="118"/>
      <c r="F6" s="117"/>
      <c r="G6" s="117"/>
      <c r="H6" s="117"/>
      <c r="I6" s="117"/>
      <c r="J6" s="117"/>
      <c r="K6" s="117"/>
      <c r="L6" s="117"/>
      <c r="M6" s="117"/>
      <c r="N6" s="63"/>
      <c r="O6" s="63"/>
      <c r="Q6" s="110"/>
    </row>
    <row r="7" spans="1:17" ht="18.75" customHeight="1" thickBot="1" x14ac:dyDescent="0.5">
      <c r="A7" s="63"/>
      <c r="B7" s="601" t="s">
        <v>156</v>
      </c>
      <c r="C7" s="571" t="s">
        <v>169</v>
      </c>
      <c r="D7" s="572"/>
      <c r="E7" s="572"/>
      <c r="F7" s="572"/>
      <c r="G7" s="572"/>
      <c r="H7" s="573"/>
      <c r="I7" s="599" t="s">
        <v>231</v>
      </c>
      <c r="J7" s="604" t="s">
        <v>172</v>
      </c>
      <c r="K7" s="571" t="s">
        <v>170</v>
      </c>
      <c r="L7" s="573"/>
      <c r="M7" s="574" t="s">
        <v>173</v>
      </c>
      <c r="N7" s="575"/>
      <c r="O7" s="63"/>
    </row>
    <row r="8" spans="1:17" ht="30" customHeight="1" thickBot="1" x14ac:dyDescent="0.4">
      <c r="A8" s="63"/>
      <c r="B8" s="602"/>
      <c r="C8" s="123" t="s">
        <v>155</v>
      </c>
      <c r="D8" s="124" t="s">
        <v>155</v>
      </c>
      <c r="E8" s="123" t="s">
        <v>168</v>
      </c>
      <c r="F8" s="124" t="s">
        <v>168</v>
      </c>
      <c r="G8" s="121" t="s">
        <v>154</v>
      </c>
      <c r="H8" s="122" t="s">
        <v>154</v>
      </c>
      <c r="I8" s="600"/>
      <c r="J8" s="605"/>
      <c r="K8" s="120" t="s">
        <v>139</v>
      </c>
      <c r="L8" s="120" t="s">
        <v>153</v>
      </c>
      <c r="M8" s="576"/>
      <c r="N8" s="577"/>
      <c r="O8" s="63"/>
    </row>
    <row r="9" spans="1:17" ht="15" thickBot="1" x14ac:dyDescent="0.4">
      <c r="A9" s="63"/>
      <c r="B9" s="603"/>
      <c r="C9" s="125" t="s">
        <v>227</v>
      </c>
      <c r="D9" s="158" t="s">
        <v>226</v>
      </c>
      <c r="E9" s="125" t="s">
        <v>227</v>
      </c>
      <c r="F9" s="158" t="s">
        <v>226</v>
      </c>
      <c r="G9" s="126" t="s">
        <v>227</v>
      </c>
      <c r="H9" s="159" t="s">
        <v>226</v>
      </c>
      <c r="I9" s="160" t="s">
        <v>141</v>
      </c>
      <c r="J9" s="606"/>
      <c r="K9" s="127" t="s">
        <v>171</v>
      </c>
      <c r="L9" s="128" t="s">
        <v>171</v>
      </c>
      <c r="M9" s="578"/>
      <c r="N9" s="579"/>
      <c r="O9" s="63"/>
    </row>
    <row r="10" spans="1:17" ht="21" x14ac:dyDescent="0.35">
      <c r="A10" s="63"/>
      <c r="B10" s="633" t="s">
        <v>152</v>
      </c>
      <c r="C10" s="634">
        <v>2.2999999999999998</v>
      </c>
      <c r="D10" s="635">
        <v>1.6</v>
      </c>
      <c r="E10" s="634">
        <v>2.2999999999999998</v>
      </c>
      <c r="F10" s="636">
        <v>1.6</v>
      </c>
      <c r="G10" s="637">
        <v>4.4000000000000004</v>
      </c>
      <c r="H10" s="638">
        <v>3</v>
      </c>
      <c r="I10" s="161">
        <f t="shared" ref="I10:I27" si="0">IF(H10&gt;0, (G10/H10), ("No Data"))</f>
        <v>1.4666666666666668</v>
      </c>
      <c r="J10" s="132">
        <f t="shared" ref="J10:J19" si="1">IF(G10&gt;0, ($L$4/G10), ("No Data"))</f>
        <v>197.72727272727272</v>
      </c>
      <c r="K10" s="135">
        <f t="shared" ref="K10:K19" si="2">IF(H10&gt;0,((J10*H10)), ("No Data"))</f>
        <v>593.18181818181813</v>
      </c>
      <c r="L10" s="130">
        <f>IF(K10="No Data", ("No Data"), ((K10/2)))</f>
        <v>296.59090909090907</v>
      </c>
      <c r="M10" s="544">
        <f t="shared" ref="M10" si="3">IF(G10&gt;0, (($L$4/G10)/24), ("No Data"))</f>
        <v>8.2386363636363633</v>
      </c>
      <c r="N10" s="545"/>
      <c r="O10" s="63"/>
    </row>
    <row r="11" spans="1:17" ht="21" x14ac:dyDescent="0.35">
      <c r="A11" s="63"/>
      <c r="B11" s="639">
        <v>1000</v>
      </c>
      <c r="C11" s="640">
        <v>4.5999999999999996</v>
      </c>
      <c r="D11" s="641">
        <v>3.5</v>
      </c>
      <c r="E11" s="640">
        <v>4.5999999999999996</v>
      </c>
      <c r="F11" s="642">
        <v>3.5</v>
      </c>
      <c r="G11" s="643">
        <v>8.6</v>
      </c>
      <c r="H11" s="644">
        <v>4.7</v>
      </c>
      <c r="I11" s="162">
        <f t="shared" si="0"/>
        <v>1.8297872340425529</v>
      </c>
      <c r="J11" s="133">
        <f t="shared" si="1"/>
        <v>101.16279069767442</v>
      </c>
      <c r="K11" s="129">
        <f t="shared" si="2"/>
        <v>475.46511627906983</v>
      </c>
      <c r="L11" s="107">
        <f>IF(K11="No Data", ("No Data"), ((K11/2)))</f>
        <v>237.73255813953492</v>
      </c>
      <c r="M11" s="546">
        <f t="shared" ref="M11:M27" si="4">IF(G11&gt;0, (($L$4/G11)/24), ("No Data"))</f>
        <v>4.2151162790697674</v>
      </c>
      <c r="N11" s="547"/>
      <c r="O11" s="63"/>
    </row>
    <row r="12" spans="1:17" ht="21" x14ac:dyDescent="0.35">
      <c r="A12" s="63"/>
      <c r="B12" s="639">
        <v>1500</v>
      </c>
      <c r="C12" s="640">
        <v>7.4</v>
      </c>
      <c r="D12" s="641">
        <v>5.2</v>
      </c>
      <c r="E12" s="640">
        <v>7.4</v>
      </c>
      <c r="F12" s="642">
        <v>5</v>
      </c>
      <c r="G12" s="643">
        <v>15</v>
      </c>
      <c r="H12" s="644">
        <v>6.9</v>
      </c>
      <c r="I12" s="162">
        <f t="shared" si="0"/>
        <v>2.1739130434782608</v>
      </c>
      <c r="J12" s="133">
        <f t="shared" si="1"/>
        <v>58</v>
      </c>
      <c r="K12" s="129">
        <f t="shared" si="2"/>
        <v>400.20000000000005</v>
      </c>
      <c r="L12" s="107">
        <f t="shared" ref="L12:L27" si="5">IF(K12="No Data", ("No Data"), ((K12/2)))</f>
        <v>200.10000000000002</v>
      </c>
      <c r="M12" s="546">
        <f t="shared" si="4"/>
        <v>2.4166666666666665</v>
      </c>
      <c r="N12" s="547"/>
      <c r="O12" s="63"/>
    </row>
    <row r="13" spans="1:17" ht="21" x14ac:dyDescent="0.35">
      <c r="A13" s="63"/>
      <c r="B13" s="639">
        <v>2000</v>
      </c>
      <c r="C13" s="640">
        <v>11.6</v>
      </c>
      <c r="D13" s="641">
        <v>6.4</v>
      </c>
      <c r="E13" s="640">
        <v>11.5</v>
      </c>
      <c r="F13" s="642">
        <v>6.3</v>
      </c>
      <c r="G13" s="643">
        <v>21.6</v>
      </c>
      <c r="H13" s="644">
        <v>8.1999999999999993</v>
      </c>
      <c r="I13" s="162">
        <f t="shared" si="0"/>
        <v>2.6341463414634152</v>
      </c>
      <c r="J13" s="133">
        <f t="shared" si="1"/>
        <v>40.277777777777779</v>
      </c>
      <c r="K13" s="129">
        <f t="shared" si="2"/>
        <v>330.27777777777777</v>
      </c>
      <c r="L13" s="107">
        <f t="shared" si="5"/>
        <v>165.13888888888889</v>
      </c>
      <c r="M13" s="546">
        <f t="shared" si="4"/>
        <v>1.6782407407407407</v>
      </c>
      <c r="N13" s="547"/>
      <c r="O13" s="63"/>
    </row>
    <row r="14" spans="1:17" ht="21" x14ac:dyDescent="0.35">
      <c r="A14" s="63"/>
      <c r="B14" s="639">
        <v>2500</v>
      </c>
      <c r="C14" s="640">
        <v>18.8</v>
      </c>
      <c r="D14" s="641">
        <v>7.5</v>
      </c>
      <c r="E14" s="640">
        <v>18.2</v>
      </c>
      <c r="F14" s="642">
        <v>7.5</v>
      </c>
      <c r="G14" s="643">
        <v>31.2</v>
      </c>
      <c r="H14" s="644">
        <v>9.8000000000000007</v>
      </c>
      <c r="I14" s="162">
        <f t="shared" si="0"/>
        <v>3.1836734693877546</v>
      </c>
      <c r="J14" s="133">
        <f t="shared" si="1"/>
        <v>27.884615384615387</v>
      </c>
      <c r="K14" s="129">
        <f t="shared" si="2"/>
        <v>273.26923076923083</v>
      </c>
      <c r="L14" s="107">
        <f t="shared" si="5"/>
        <v>136.63461538461542</v>
      </c>
      <c r="M14" s="546">
        <f t="shared" si="4"/>
        <v>1.1618589743589745</v>
      </c>
      <c r="N14" s="547"/>
      <c r="O14" s="63"/>
    </row>
    <row r="15" spans="1:17" ht="21" x14ac:dyDescent="0.35">
      <c r="A15" s="63"/>
      <c r="B15" s="639">
        <v>2750</v>
      </c>
      <c r="C15" s="640">
        <v>23.1</v>
      </c>
      <c r="D15" s="641">
        <v>8.1999999999999993</v>
      </c>
      <c r="E15" s="640">
        <v>23</v>
      </c>
      <c r="F15" s="642">
        <v>8</v>
      </c>
      <c r="G15" s="643">
        <v>40.700000000000003</v>
      </c>
      <c r="H15" s="644">
        <v>10.8</v>
      </c>
      <c r="I15" s="162">
        <f t="shared" si="0"/>
        <v>3.7685185185185186</v>
      </c>
      <c r="J15" s="133">
        <f t="shared" si="1"/>
        <v>21.375921375921376</v>
      </c>
      <c r="K15" s="129">
        <f t="shared" si="2"/>
        <v>230.85995085995089</v>
      </c>
      <c r="L15" s="107">
        <f t="shared" si="5"/>
        <v>115.42997542997544</v>
      </c>
      <c r="M15" s="546">
        <f t="shared" si="4"/>
        <v>0.89066339066339062</v>
      </c>
      <c r="N15" s="547"/>
      <c r="O15" s="63"/>
    </row>
    <row r="16" spans="1:17" ht="21" x14ac:dyDescent="0.35">
      <c r="A16" s="63"/>
      <c r="B16" s="639">
        <v>3000</v>
      </c>
      <c r="C16" s="640">
        <v>28.1</v>
      </c>
      <c r="D16" s="641">
        <v>8.6999999999999993</v>
      </c>
      <c r="E16" s="640">
        <v>27.4</v>
      </c>
      <c r="F16" s="642">
        <v>8.4</v>
      </c>
      <c r="G16" s="643">
        <v>48.5</v>
      </c>
      <c r="H16" s="644">
        <v>12.8</v>
      </c>
      <c r="I16" s="162">
        <f t="shared" si="0"/>
        <v>3.7890625</v>
      </c>
      <c r="J16" s="133">
        <f t="shared" si="1"/>
        <v>17.938144329896907</v>
      </c>
      <c r="K16" s="129">
        <f t="shared" si="2"/>
        <v>229.60824742268042</v>
      </c>
      <c r="L16" s="107">
        <f t="shared" si="5"/>
        <v>114.80412371134021</v>
      </c>
      <c r="M16" s="546">
        <f t="shared" si="4"/>
        <v>0.74742268041237114</v>
      </c>
      <c r="N16" s="547"/>
      <c r="O16" s="63"/>
    </row>
    <row r="17" spans="1:17" ht="21" x14ac:dyDescent="0.35">
      <c r="A17" s="63"/>
      <c r="B17" s="639">
        <v>3250</v>
      </c>
      <c r="C17" s="640">
        <v>32</v>
      </c>
      <c r="D17" s="641">
        <v>8.9</v>
      </c>
      <c r="E17" s="640">
        <v>32</v>
      </c>
      <c r="F17" s="642">
        <v>8.8000000000000007</v>
      </c>
      <c r="G17" s="643">
        <v>53</v>
      </c>
      <c r="H17" s="644">
        <v>13.8</v>
      </c>
      <c r="I17" s="162">
        <f t="shared" si="0"/>
        <v>3.8405797101449273</v>
      </c>
      <c r="J17" s="133">
        <f t="shared" si="1"/>
        <v>16.415094339622641</v>
      </c>
      <c r="K17" s="129">
        <f t="shared" si="2"/>
        <v>226.52830188679246</v>
      </c>
      <c r="L17" s="107">
        <f t="shared" si="5"/>
        <v>113.26415094339623</v>
      </c>
      <c r="M17" s="546">
        <f t="shared" si="4"/>
        <v>0.68396226415094341</v>
      </c>
      <c r="N17" s="547"/>
      <c r="O17" s="63"/>
    </row>
    <row r="18" spans="1:17" ht="21" x14ac:dyDescent="0.35">
      <c r="A18" s="63"/>
      <c r="B18" s="639">
        <v>3500</v>
      </c>
      <c r="C18" s="645" t="s">
        <v>232</v>
      </c>
      <c r="D18" s="646"/>
      <c r="E18" s="646"/>
      <c r="F18" s="647"/>
      <c r="G18" s="643">
        <v>60</v>
      </c>
      <c r="H18" s="644">
        <v>16</v>
      </c>
      <c r="I18" s="162">
        <f t="shared" ref="I18" si="6">IF(H18&gt;0, (G18/H18), ("No Data"))</f>
        <v>3.75</v>
      </c>
      <c r="J18" s="133">
        <f t="shared" ref="J18" si="7">IF(G18&gt;0, ($L$4/G18), ("No Data"))</f>
        <v>14.5</v>
      </c>
      <c r="K18" s="129">
        <f t="shared" ref="K18" si="8">IF(H18&gt;0,((J18*H18)), ("No Data"))</f>
        <v>232</v>
      </c>
      <c r="L18" s="107">
        <f t="shared" ref="L18" si="9">IF(K18="No Data", ("No Data"), ((K18/2)))</f>
        <v>116</v>
      </c>
      <c r="M18" s="546">
        <f t="shared" si="4"/>
        <v>0.60416666666666663</v>
      </c>
      <c r="N18" s="547"/>
      <c r="O18" s="63"/>
    </row>
    <row r="19" spans="1:17" ht="21" x14ac:dyDescent="0.35">
      <c r="A19" s="63"/>
      <c r="B19" s="639">
        <v>3650</v>
      </c>
      <c r="C19" s="648"/>
      <c r="D19" s="649"/>
      <c r="E19" s="649"/>
      <c r="F19" s="650"/>
      <c r="G19" s="643">
        <v>69</v>
      </c>
      <c r="H19" s="644">
        <v>18.899999999999999</v>
      </c>
      <c r="I19" s="162">
        <f t="shared" si="0"/>
        <v>3.6507936507936511</v>
      </c>
      <c r="J19" s="133">
        <f t="shared" si="1"/>
        <v>12.608695652173912</v>
      </c>
      <c r="K19" s="129">
        <f t="shared" si="2"/>
        <v>238.30434782608691</v>
      </c>
      <c r="L19" s="107">
        <f t="shared" si="5"/>
        <v>119.15217391304346</v>
      </c>
      <c r="M19" s="546">
        <f t="shared" si="4"/>
        <v>0.52536231884057971</v>
      </c>
      <c r="N19" s="547"/>
      <c r="O19" s="63"/>
    </row>
    <row r="20" spans="1:17" ht="21" x14ac:dyDescent="0.35">
      <c r="A20" s="63"/>
      <c r="B20" s="639">
        <v>3800</v>
      </c>
      <c r="C20" s="648"/>
      <c r="D20" s="649"/>
      <c r="E20" s="649"/>
      <c r="F20" s="650"/>
      <c r="G20" s="643">
        <v>72</v>
      </c>
      <c r="H20" s="644">
        <v>20.399999999999999</v>
      </c>
      <c r="I20" s="162">
        <f t="shared" si="0"/>
        <v>3.5294117647058827</v>
      </c>
      <c r="J20" s="133">
        <f t="shared" ref="J20:J27" si="10">IF(G20&gt;0, ($L$4/G20), ("No Data"))</f>
        <v>12.083333333333334</v>
      </c>
      <c r="K20" s="129">
        <f t="shared" ref="K20:K27" si="11">IF(H20&gt;0,((J20*H20)), ("No Data"))</f>
        <v>246.5</v>
      </c>
      <c r="L20" s="107">
        <f t="shared" si="5"/>
        <v>123.25</v>
      </c>
      <c r="M20" s="546">
        <f t="shared" si="4"/>
        <v>0.50347222222222221</v>
      </c>
      <c r="N20" s="547"/>
      <c r="O20" s="63"/>
    </row>
    <row r="21" spans="1:17" ht="21" x14ac:dyDescent="0.35">
      <c r="A21" s="63"/>
      <c r="B21" s="639">
        <v>4000</v>
      </c>
      <c r="C21" s="648"/>
      <c r="D21" s="649"/>
      <c r="E21" s="649"/>
      <c r="F21" s="650"/>
      <c r="G21" s="643">
        <v>78.7</v>
      </c>
      <c r="H21" s="644">
        <v>23.7</v>
      </c>
      <c r="I21" s="162">
        <f t="shared" si="0"/>
        <v>3.3206751054852321</v>
      </c>
      <c r="J21" s="133">
        <f t="shared" si="10"/>
        <v>11.054637865311308</v>
      </c>
      <c r="K21" s="129">
        <f t="shared" si="11"/>
        <v>261.99491740787801</v>
      </c>
      <c r="L21" s="107">
        <f t="shared" si="5"/>
        <v>130.997458703939</v>
      </c>
      <c r="M21" s="546">
        <f t="shared" si="4"/>
        <v>0.46060991105463783</v>
      </c>
      <c r="N21" s="547"/>
      <c r="O21" s="63"/>
    </row>
    <row r="22" spans="1:17" ht="21" x14ac:dyDescent="0.35">
      <c r="A22" s="63"/>
      <c r="B22" s="639">
        <v>4300</v>
      </c>
      <c r="C22" s="648"/>
      <c r="D22" s="649"/>
      <c r="E22" s="649"/>
      <c r="F22" s="650"/>
      <c r="G22" s="643">
        <v>94</v>
      </c>
      <c r="H22" s="644">
        <v>27</v>
      </c>
      <c r="I22" s="162">
        <f t="shared" si="0"/>
        <v>3.4814814814814814</v>
      </c>
      <c r="J22" s="133">
        <f t="shared" si="10"/>
        <v>9.2553191489361701</v>
      </c>
      <c r="K22" s="129">
        <f t="shared" si="11"/>
        <v>249.89361702127658</v>
      </c>
      <c r="L22" s="107">
        <f t="shared" si="5"/>
        <v>124.94680851063829</v>
      </c>
      <c r="M22" s="546">
        <f t="shared" si="4"/>
        <v>0.38563829787234044</v>
      </c>
      <c r="N22" s="547"/>
      <c r="O22" s="63"/>
    </row>
    <row r="23" spans="1:17" ht="21" x14ac:dyDescent="0.35">
      <c r="A23" s="63"/>
      <c r="B23" s="639">
        <v>4500</v>
      </c>
      <c r="C23" s="648"/>
      <c r="D23" s="649"/>
      <c r="E23" s="649"/>
      <c r="F23" s="650"/>
      <c r="G23" s="643">
        <v>107</v>
      </c>
      <c r="H23" s="644">
        <v>29</v>
      </c>
      <c r="I23" s="162">
        <f t="shared" ref="I23" si="12">IF(H23&gt;0, (G23/H23), ("No Data"))</f>
        <v>3.6896551724137931</v>
      </c>
      <c r="J23" s="133">
        <f t="shared" si="10"/>
        <v>8.1308411214953278</v>
      </c>
      <c r="K23" s="129">
        <f t="shared" si="11"/>
        <v>235.79439252336451</v>
      </c>
      <c r="L23" s="107">
        <f t="shared" ref="L23" si="13">IF(K23="No Data", ("No Data"), ((K23/2)))</f>
        <v>117.89719626168225</v>
      </c>
      <c r="M23" s="546">
        <f t="shared" si="4"/>
        <v>0.33878504672897197</v>
      </c>
      <c r="N23" s="547"/>
      <c r="O23" s="63"/>
    </row>
    <row r="24" spans="1:17" ht="21" x14ac:dyDescent="0.35">
      <c r="A24" s="63"/>
      <c r="B24" s="639">
        <v>5000</v>
      </c>
      <c r="C24" s="648"/>
      <c r="D24" s="649"/>
      <c r="E24" s="649"/>
      <c r="F24" s="650"/>
      <c r="G24" s="643">
        <v>136</v>
      </c>
      <c r="H24" s="644">
        <v>32.5</v>
      </c>
      <c r="I24" s="162">
        <f t="shared" si="0"/>
        <v>4.1846153846153848</v>
      </c>
      <c r="J24" s="133">
        <f t="shared" si="10"/>
        <v>6.3970588235294121</v>
      </c>
      <c r="K24" s="129">
        <f t="shared" si="11"/>
        <v>207.90441176470588</v>
      </c>
      <c r="L24" s="107">
        <f t="shared" si="5"/>
        <v>103.95220588235294</v>
      </c>
      <c r="M24" s="546">
        <f t="shared" si="4"/>
        <v>0.26654411764705882</v>
      </c>
      <c r="N24" s="547"/>
      <c r="O24" s="63"/>
      <c r="Q24" t="s">
        <v>229</v>
      </c>
    </row>
    <row r="25" spans="1:17" ht="21" x14ac:dyDescent="0.35">
      <c r="A25" s="63"/>
      <c r="B25" s="651">
        <v>5500</v>
      </c>
      <c r="C25" s="648"/>
      <c r="D25" s="649"/>
      <c r="E25" s="649"/>
      <c r="F25" s="650"/>
      <c r="G25" s="652">
        <v>176</v>
      </c>
      <c r="H25" s="653">
        <v>37</v>
      </c>
      <c r="I25" s="162">
        <f t="shared" si="0"/>
        <v>4.756756756756757</v>
      </c>
      <c r="J25" s="133">
        <f t="shared" si="10"/>
        <v>4.9431818181818183</v>
      </c>
      <c r="K25" s="129">
        <f t="shared" si="11"/>
        <v>182.89772727272728</v>
      </c>
      <c r="L25" s="107">
        <f t="shared" si="5"/>
        <v>91.44886363636364</v>
      </c>
      <c r="M25" s="546">
        <f t="shared" si="4"/>
        <v>0.20596590909090909</v>
      </c>
      <c r="N25" s="547"/>
      <c r="O25" s="63"/>
      <c r="Q25" t="s">
        <v>230</v>
      </c>
    </row>
    <row r="26" spans="1:17" ht="21.5" thickBot="1" x14ac:dyDescent="0.4">
      <c r="A26" s="63"/>
      <c r="B26" s="654">
        <v>6250</v>
      </c>
      <c r="C26" s="655"/>
      <c r="D26" s="656"/>
      <c r="E26" s="656"/>
      <c r="F26" s="657"/>
      <c r="G26" s="658">
        <v>218</v>
      </c>
      <c r="H26" s="659">
        <v>42</v>
      </c>
      <c r="I26" s="162">
        <f t="shared" si="0"/>
        <v>5.1904761904761907</v>
      </c>
      <c r="J26" s="133">
        <f t="shared" si="10"/>
        <v>3.9908256880733943</v>
      </c>
      <c r="K26" s="129">
        <f t="shared" si="11"/>
        <v>167.61467889908255</v>
      </c>
      <c r="L26" s="107">
        <f t="shared" si="5"/>
        <v>83.807339449541274</v>
      </c>
      <c r="M26" s="546">
        <f t="shared" si="4"/>
        <v>0.16628440366972477</v>
      </c>
      <c r="N26" s="547"/>
      <c r="O26" s="63"/>
    </row>
    <row r="27" spans="1:17" ht="29" thickBot="1" x14ac:dyDescent="0.4">
      <c r="A27" s="63"/>
      <c r="B27" s="106" t="s">
        <v>225</v>
      </c>
      <c r="C27" s="630"/>
      <c r="D27" s="631"/>
      <c r="E27" s="631"/>
      <c r="F27" s="632"/>
      <c r="G27" s="168">
        <v>218.8</v>
      </c>
      <c r="H27" s="169">
        <v>44</v>
      </c>
      <c r="I27" s="163">
        <f t="shared" si="0"/>
        <v>4.9727272727272727</v>
      </c>
      <c r="J27" s="134">
        <f t="shared" si="10"/>
        <v>3.9762340036563071</v>
      </c>
      <c r="K27" s="131">
        <f t="shared" si="11"/>
        <v>174.9542961608775</v>
      </c>
      <c r="L27" s="105">
        <f t="shared" si="5"/>
        <v>87.477148080438752</v>
      </c>
      <c r="M27" s="557">
        <f t="shared" si="4"/>
        <v>0.1656764168190128</v>
      </c>
      <c r="N27" s="558"/>
      <c r="O27" s="63"/>
    </row>
    <row r="28" spans="1:17" x14ac:dyDescent="0.3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7" x14ac:dyDescent="0.3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7" x14ac:dyDescent="0.3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1:17" x14ac:dyDescent="0.3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17" x14ac:dyDescent="0.3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x14ac:dyDescent="0.3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1:15" x14ac:dyDescent="0.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</row>
    <row r="36" spans="1:15" x14ac:dyDescent="0.3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5" x14ac:dyDescent="0.3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x14ac:dyDescent="0.3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1:15" x14ac:dyDescent="0.3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x14ac:dyDescent="0.3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 x14ac:dyDescent="0.3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1:15" x14ac:dyDescent="0.3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x14ac:dyDescent="0.3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x14ac:dyDescent="0.3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</row>
    <row r="45" spans="1:15" x14ac:dyDescent="0.3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6" spans="1:15" x14ac:dyDescent="0.3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 x14ac:dyDescent="0.3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 x14ac:dyDescent="0.3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1:15" x14ac:dyDescent="0.3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</row>
    <row r="50" spans="1:15" x14ac:dyDescent="0.3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1:15" x14ac:dyDescent="0.3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1:15" x14ac:dyDescent="0.3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  <row r="53" spans="1:15" x14ac:dyDescent="0.3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</row>
    <row r="54" spans="1:15" x14ac:dyDescent="0.3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1:15" x14ac:dyDescent="0.3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1:15" x14ac:dyDescent="0.3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1:15" x14ac:dyDescent="0.3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</row>
    <row r="58" spans="1:15" x14ac:dyDescent="0.3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1:15" x14ac:dyDescent="0.3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</row>
    <row r="60" spans="1:15" x14ac:dyDescent="0.3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1" spans="1:15" x14ac:dyDescent="0.3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x14ac:dyDescent="0.3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</row>
    <row r="63" spans="1:15" x14ac:dyDescent="0.3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1:15" x14ac:dyDescent="0.3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1:15" x14ac:dyDescent="0.3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x14ac:dyDescent="0.3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x14ac:dyDescent="0.3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1:15" x14ac:dyDescent="0.3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</row>
    <row r="69" spans="1:15" x14ac:dyDescent="0.3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</row>
    <row r="70" spans="1:15" x14ac:dyDescent="0.3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</row>
    <row r="71" spans="1:15" x14ac:dyDescent="0.3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3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</row>
    <row r="73" spans="1:15" x14ac:dyDescent="0.3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1:15" x14ac:dyDescent="0.3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1:15" x14ac:dyDescent="0.3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</row>
    <row r="76" spans="1:15" x14ac:dyDescent="0.3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5" x14ac:dyDescent="0.3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1:15" x14ac:dyDescent="0.3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1:15" x14ac:dyDescent="0.3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</row>
    <row r="80" spans="1:15" x14ac:dyDescent="0.3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</row>
    <row r="81" spans="1:15" x14ac:dyDescent="0.3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</row>
    <row r="82" spans="1:15" x14ac:dyDescent="0.3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</row>
    <row r="83" spans="1:15" x14ac:dyDescent="0.3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</row>
    <row r="84" spans="1:15" x14ac:dyDescent="0.35"/>
  </sheetData>
  <sheetProtection algorithmName="SHA-512" hashValue="mo46pnDGabmLqgPUkqOqLW/BgzVHezs8tY3r+PvcJlMlaC3Nb6/us5pwymScI4ggV3yHLeM8kWXzJ1l7yeua0Q==" saltValue="j+vTKJNdwfQsYnyLajmbCA==" spinCount="100000" sheet="1" objects="1" scenarios="1"/>
  <mergeCells count="35">
    <mergeCell ref="L2:N3"/>
    <mergeCell ref="L4:N5"/>
    <mergeCell ref="C7:H7"/>
    <mergeCell ref="M7:N9"/>
    <mergeCell ref="B3:C3"/>
    <mergeCell ref="D3:E3"/>
    <mergeCell ref="B4:C4"/>
    <mergeCell ref="D4:E4"/>
    <mergeCell ref="B5:C5"/>
    <mergeCell ref="D5:E5"/>
    <mergeCell ref="B2:J2"/>
    <mergeCell ref="F3:J5"/>
    <mergeCell ref="I7:I8"/>
    <mergeCell ref="B7:B9"/>
    <mergeCell ref="K7:L7"/>
    <mergeCell ref="J7:J9"/>
    <mergeCell ref="M26:N26"/>
    <mergeCell ref="M23:N23"/>
    <mergeCell ref="M12:N12"/>
    <mergeCell ref="M27:N27"/>
    <mergeCell ref="M21:N21"/>
    <mergeCell ref="M22:N22"/>
    <mergeCell ref="M24:N24"/>
    <mergeCell ref="M25:N25"/>
    <mergeCell ref="M15:N15"/>
    <mergeCell ref="M16:N16"/>
    <mergeCell ref="M17:N17"/>
    <mergeCell ref="M19:N19"/>
    <mergeCell ref="M20:N20"/>
    <mergeCell ref="C18:F26"/>
    <mergeCell ref="M10:N10"/>
    <mergeCell ref="M11:N11"/>
    <mergeCell ref="M13:N13"/>
    <mergeCell ref="M14:N14"/>
    <mergeCell ref="M18:N18"/>
  </mergeCells>
  <printOptions horizontalCentered="1" verticalCentered="1"/>
  <pageMargins left="0.7" right="0.7" top="0.75" bottom="0.75" header="0.3" footer="0.3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"/>
  <sheetViews>
    <sheetView topLeftCell="B1" workbookViewId="0">
      <selection activeCell="L4" sqref="L4:N5"/>
    </sheetView>
  </sheetViews>
  <sheetFormatPr defaultColWidth="0" defaultRowHeight="14.5" zeroHeight="1" x14ac:dyDescent="0.35"/>
  <cols>
    <col min="1" max="1" width="2.81640625" customWidth="1"/>
    <col min="2" max="2" width="10.7265625" bestFit="1" customWidth="1"/>
    <col min="3" max="9" width="9.90625" customWidth="1"/>
    <col min="10" max="10" width="6.08984375" customWidth="1"/>
    <col min="11" max="11" width="9.90625" customWidth="1"/>
    <col min="12" max="13" width="10.90625" customWidth="1"/>
    <col min="14" max="14" width="11.7265625" customWidth="1"/>
    <col min="15" max="15" width="2.81640625" customWidth="1"/>
    <col min="16" max="17" width="0" hidden="1" customWidth="1"/>
    <col min="18" max="16384" width="9.1796875" hidden="1"/>
  </cols>
  <sheetData>
    <row r="1" spans="1:17" ht="15" thickBot="1" x14ac:dyDescent="0.4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33" customHeight="1" thickBot="1" x14ac:dyDescent="0.75">
      <c r="A2" s="63"/>
      <c r="B2" s="590" t="s">
        <v>160</v>
      </c>
      <c r="C2" s="591"/>
      <c r="D2" s="591"/>
      <c r="E2" s="591"/>
      <c r="F2" s="591"/>
      <c r="G2" s="591"/>
      <c r="H2" s="591"/>
      <c r="I2" s="591"/>
      <c r="J2" s="592"/>
      <c r="K2" s="119"/>
      <c r="L2" s="559" t="s">
        <v>167</v>
      </c>
      <c r="M2" s="560"/>
      <c r="N2" s="561"/>
      <c r="O2" s="63"/>
    </row>
    <row r="3" spans="1:17" ht="21.75" customHeight="1" x14ac:dyDescent="0.45">
      <c r="A3" s="63"/>
      <c r="B3" s="616" t="s">
        <v>159</v>
      </c>
      <c r="C3" s="617"/>
      <c r="D3" s="620"/>
      <c r="E3" s="621"/>
      <c r="F3" s="593" t="s">
        <v>233</v>
      </c>
      <c r="G3" s="594"/>
      <c r="H3" s="594"/>
      <c r="I3" s="594"/>
      <c r="J3" s="595"/>
      <c r="K3" s="117"/>
      <c r="L3" s="562"/>
      <c r="M3" s="563"/>
      <c r="N3" s="564"/>
      <c r="O3" s="63"/>
    </row>
    <row r="4" spans="1:17" ht="21.75" customHeight="1" x14ac:dyDescent="0.45">
      <c r="A4" s="63"/>
      <c r="B4" s="618" t="s">
        <v>158</v>
      </c>
      <c r="C4" s="619"/>
      <c r="D4" s="619"/>
      <c r="E4" s="622"/>
      <c r="F4" s="593"/>
      <c r="G4" s="594"/>
      <c r="H4" s="594"/>
      <c r="I4" s="594"/>
      <c r="J4" s="595"/>
      <c r="K4" s="117"/>
      <c r="L4" s="607">
        <v>395</v>
      </c>
      <c r="M4" s="608"/>
      <c r="N4" s="609"/>
      <c r="O4" s="63"/>
    </row>
    <row r="5" spans="1:17" ht="21.75" customHeight="1" thickBot="1" x14ac:dyDescent="0.5">
      <c r="A5" s="63"/>
      <c r="B5" s="613" t="s">
        <v>157</v>
      </c>
      <c r="C5" s="614"/>
      <c r="D5" s="614"/>
      <c r="E5" s="615"/>
      <c r="F5" s="596"/>
      <c r="G5" s="597"/>
      <c r="H5" s="597"/>
      <c r="I5" s="597"/>
      <c r="J5" s="598"/>
      <c r="K5" s="117"/>
      <c r="L5" s="610"/>
      <c r="M5" s="611"/>
      <c r="N5" s="612"/>
      <c r="O5" s="63"/>
    </row>
    <row r="6" spans="1:17" ht="19.5" thickTop="1" thickBot="1" x14ac:dyDescent="0.5">
      <c r="A6" s="63"/>
      <c r="B6" s="117"/>
      <c r="C6" s="117"/>
      <c r="D6" s="117"/>
      <c r="E6" s="118"/>
      <c r="F6" s="117"/>
      <c r="G6" s="117"/>
      <c r="H6" s="117"/>
      <c r="I6" s="117"/>
      <c r="J6" s="117"/>
      <c r="K6" s="117"/>
      <c r="L6" s="117"/>
      <c r="M6" s="117"/>
      <c r="N6" s="63"/>
      <c r="O6" s="63"/>
      <c r="Q6" s="110"/>
    </row>
    <row r="7" spans="1:17" ht="18.75" customHeight="1" thickBot="1" x14ac:dyDescent="0.5">
      <c r="A7" s="63"/>
      <c r="B7" s="601" t="s">
        <v>156</v>
      </c>
      <c r="C7" s="571" t="s">
        <v>169</v>
      </c>
      <c r="D7" s="572"/>
      <c r="E7" s="572"/>
      <c r="F7" s="572"/>
      <c r="G7" s="572"/>
      <c r="H7" s="573"/>
      <c r="I7" s="599" t="s">
        <v>231</v>
      </c>
      <c r="J7" s="604" t="s">
        <v>172</v>
      </c>
      <c r="K7" s="571" t="s">
        <v>170</v>
      </c>
      <c r="L7" s="573"/>
      <c r="M7" s="574" t="s">
        <v>173</v>
      </c>
      <c r="N7" s="575"/>
      <c r="O7" s="63"/>
    </row>
    <row r="8" spans="1:17" ht="30" customHeight="1" thickBot="1" x14ac:dyDescent="0.4">
      <c r="A8" s="63"/>
      <c r="B8" s="602"/>
      <c r="C8" s="123" t="s">
        <v>155</v>
      </c>
      <c r="D8" s="124" t="s">
        <v>155</v>
      </c>
      <c r="E8" s="123" t="s">
        <v>168</v>
      </c>
      <c r="F8" s="124" t="s">
        <v>168</v>
      </c>
      <c r="G8" s="121" t="s">
        <v>154</v>
      </c>
      <c r="H8" s="122" t="s">
        <v>154</v>
      </c>
      <c r="I8" s="600"/>
      <c r="J8" s="605"/>
      <c r="K8" s="120" t="s">
        <v>139</v>
      </c>
      <c r="L8" s="120" t="s">
        <v>153</v>
      </c>
      <c r="M8" s="576"/>
      <c r="N8" s="577"/>
      <c r="O8" s="63"/>
    </row>
    <row r="9" spans="1:17" ht="15" thickBot="1" x14ac:dyDescent="0.4">
      <c r="A9" s="63"/>
      <c r="B9" s="603"/>
      <c r="C9" s="125" t="s">
        <v>227</v>
      </c>
      <c r="D9" s="158" t="s">
        <v>226</v>
      </c>
      <c r="E9" s="125" t="s">
        <v>227</v>
      </c>
      <c r="F9" s="158" t="s">
        <v>226</v>
      </c>
      <c r="G9" s="126" t="s">
        <v>227</v>
      </c>
      <c r="H9" s="159" t="s">
        <v>226</v>
      </c>
      <c r="I9" s="160" t="s">
        <v>141</v>
      </c>
      <c r="J9" s="606"/>
      <c r="K9" s="127" t="s">
        <v>171</v>
      </c>
      <c r="L9" s="128" t="s">
        <v>171</v>
      </c>
      <c r="M9" s="578"/>
      <c r="N9" s="579"/>
      <c r="O9" s="63"/>
    </row>
    <row r="10" spans="1:17" ht="28.5" x14ac:dyDescent="0.35">
      <c r="A10" s="63"/>
      <c r="B10" s="109" t="s">
        <v>152</v>
      </c>
      <c r="C10" s="170"/>
      <c r="D10" s="171"/>
      <c r="E10" s="170"/>
      <c r="F10" s="172"/>
      <c r="G10" s="164"/>
      <c r="H10" s="165"/>
      <c r="I10" s="161" t="str">
        <f t="shared" ref="I10:I28" si="0">IF(H10&gt;0, (G10/H10), ("No Data"))</f>
        <v>No Data</v>
      </c>
      <c r="J10" s="132" t="str">
        <f t="shared" ref="J10:J19" si="1">IF(G10&gt;0, ($L$4/G10), ("No Data"))</f>
        <v>No Data</v>
      </c>
      <c r="K10" s="135" t="str">
        <f t="shared" ref="K10:K19" si="2">IF(H10&gt;0,((J10*H10)), ("No Data"))</f>
        <v>No Data</v>
      </c>
      <c r="L10" s="130" t="str">
        <f>IF(K10="No Data", ("No Data"), ((K10/2)))</f>
        <v>No Data</v>
      </c>
      <c r="M10" s="544" t="str">
        <f t="shared" ref="M10" si="3">IF(G10&gt;0, (($L$4/G10)/24), ("No Data"))</f>
        <v>No Data</v>
      </c>
      <c r="N10" s="545"/>
      <c r="O10" s="63"/>
    </row>
    <row r="11" spans="1:17" ht="28.5" x14ac:dyDescent="0.35">
      <c r="A11" s="63"/>
      <c r="B11" s="108">
        <v>1000</v>
      </c>
      <c r="C11" s="173"/>
      <c r="D11" s="174"/>
      <c r="E11" s="173"/>
      <c r="F11" s="175"/>
      <c r="G11" s="166"/>
      <c r="H11" s="167"/>
      <c r="I11" s="162" t="str">
        <f t="shared" si="0"/>
        <v>No Data</v>
      </c>
      <c r="J11" s="133" t="str">
        <f t="shared" si="1"/>
        <v>No Data</v>
      </c>
      <c r="K11" s="129" t="str">
        <f t="shared" si="2"/>
        <v>No Data</v>
      </c>
      <c r="L11" s="107" t="str">
        <f>IF(K11="No Data", ("No Data"), ((K11/2)))</f>
        <v>No Data</v>
      </c>
      <c r="M11" s="546" t="str">
        <f t="shared" ref="M11:M28" si="4">IF(G11&gt;0, (($L$4/G11)/24), ("No Data"))</f>
        <v>No Data</v>
      </c>
      <c r="N11" s="547"/>
      <c r="O11" s="63"/>
    </row>
    <row r="12" spans="1:17" ht="28.5" x14ac:dyDescent="0.35">
      <c r="A12" s="63"/>
      <c r="B12" s="108">
        <v>1500</v>
      </c>
      <c r="C12" s="173"/>
      <c r="D12" s="174"/>
      <c r="E12" s="173"/>
      <c r="F12" s="175"/>
      <c r="G12" s="166"/>
      <c r="H12" s="167"/>
      <c r="I12" s="162" t="str">
        <f t="shared" si="0"/>
        <v>No Data</v>
      </c>
      <c r="J12" s="133" t="str">
        <f t="shared" si="1"/>
        <v>No Data</v>
      </c>
      <c r="K12" s="129" t="str">
        <f t="shared" si="2"/>
        <v>No Data</v>
      </c>
      <c r="L12" s="107" t="str">
        <f t="shared" ref="L12:L28" si="5">IF(K12="No Data", ("No Data"), ((K12/2)))</f>
        <v>No Data</v>
      </c>
      <c r="M12" s="546" t="str">
        <f t="shared" si="4"/>
        <v>No Data</v>
      </c>
      <c r="N12" s="547"/>
      <c r="O12" s="63"/>
    </row>
    <row r="13" spans="1:17" ht="28.5" x14ac:dyDescent="0.35">
      <c r="A13" s="63"/>
      <c r="B13" s="108">
        <v>2000</v>
      </c>
      <c r="C13" s="173"/>
      <c r="D13" s="174"/>
      <c r="E13" s="173"/>
      <c r="F13" s="175"/>
      <c r="G13" s="166"/>
      <c r="H13" s="167"/>
      <c r="I13" s="162" t="str">
        <f t="shared" si="0"/>
        <v>No Data</v>
      </c>
      <c r="J13" s="133" t="str">
        <f t="shared" si="1"/>
        <v>No Data</v>
      </c>
      <c r="K13" s="129" t="str">
        <f t="shared" si="2"/>
        <v>No Data</v>
      </c>
      <c r="L13" s="107" t="str">
        <f t="shared" si="5"/>
        <v>No Data</v>
      </c>
      <c r="M13" s="546" t="str">
        <f t="shared" si="4"/>
        <v>No Data</v>
      </c>
      <c r="N13" s="547"/>
      <c r="O13" s="63"/>
    </row>
    <row r="14" spans="1:17" ht="28.5" x14ac:dyDescent="0.35">
      <c r="A14" s="63"/>
      <c r="B14" s="108">
        <v>2500</v>
      </c>
      <c r="C14" s="173"/>
      <c r="D14" s="174"/>
      <c r="E14" s="173"/>
      <c r="F14" s="175"/>
      <c r="G14" s="166"/>
      <c r="H14" s="167"/>
      <c r="I14" s="162" t="str">
        <f t="shared" si="0"/>
        <v>No Data</v>
      </c>
      <c r="J14" s="133" t="str">
        <f t="shared" si="1"/>
        <v>No Data</v>
      </c>
      <c r="K14" s="129" t="str">
        <f t="shared" si="2"/>
        <v>No Data</v>
      </c>
      <c r="L14" s="107" t="str">
        <f t="shared" si="5"/>
        <v>No Data</v>
      </c>
      <c r="M14" s="546" t="str">
        <f t="shared" si="4"/>
        <v>No Data</v>
      </c>
      <c r="N14" s="547"/>
      <c r="O14" s="63"/>
    </row>
    <row r="15" spans="1:17" ht="28.5" x14ac:dyDescent="0.35">
      <c r="A15" s="63"/>
      <c r="B15" s="108">
        <v>3000</v>
      </c>
      <c r="C15" s="173"/>
      <c r="D15" s="174"/>
      <c r="E15" s="173"/>
      <c r="F15" s="175"/>
      <c r="G15" s="166"/>
      <c r="H15" s="167"/>
      <c r="I15" s="162" t="str">
        <f t="shared" si="0"/>
        <v>No Data</v>
      </c>
      <c r="J15" s="133" t="str">
        <f t="shared" si="1"/>
        <v>No Data</v>
      </c>
      <c r="K15" s="129" t="str">
        <f t="shared" si="2"/>
        <v>No Data</v>
      </c>
      <c r="L15" s="107" t="str">
        <f t="shared" si="5"/>
        <v>No Data</v>
      </c>
      <c r="M15" s="546" t="str">
        <f t="shared" si="4"/>
        <v>No Data</v>
      </c>
      <c r="N15" s="547"/>
      <c r="O15" s="63"/>
    </row>
    <row r="16" spans="1:17" ht="28.5" x14ac:dyDescent="0.35">
      <c r="A16" s="63"/>
      <c r="B16" s="108">
        <v>3200</v>
      </c>
      <c r="C16" s="173"/>
      <c r="D16" s="174"/>
      <c r="E16" s="173"/>
      <c r="F16" s="175"/>
      <c r="G16" s="166"/>
      <c r="H16" s="167"/>
      <c r="I16" s="162" t="str">
        <f t="shared" si="0"/>
        <v>No Data</v>
      </c>
      <c r="J16" s="133" t="str">
        <f t="shared" si="1"/>
        <v>No Data</v>
      </c>
      <c r="K16" s="129" t="str">
        <f t="shared" si="2"/>
        <v>No Data</v>
      </c>
      <c r="L16" s="107" t="str">
        <f t="shared" si="5"/>
        <v>No Data</v>
      </c>
      <c r="M16" s="546" t="str">
        <f t="shared" si="4"/>
        <v>No Data</v>
      </c>
      <c r="N16" s="547"/>
      <c r="O16" s="63"/>
    </row>
    <row r="17" spans="1:15" ht="28.5" x14ac:dyDescent="0.35">
      <c r="A17" s="63"/>
      <c r="B17" s="108">
        <v>3500</v>
      </c>
      <c r="C17" s="173"/>
      <c r="D17" s="174"/>
      <c r="E17" s="173"/>
      <c r="F17" s="175"/>
      <c r="G17" s="166"/>
      <c r="H17" s="167"/>
      <c r="I17" s="162" t="str">
        <f t="shared" si="0"/>
        <v>No Data</v>
      </c>
      <c r="J17" s="133" t="str">
        <f t="shared" si="1"/>
        <v>No Data</v>
      </c>
      <c r="K17" s="129" t="str">
        <f t="shared" si="2"/>
        <v>No Data</v>
      </c>
      <c r="L17" s="107" t="str">
        <f t="shared" si="5"/>
        <v>No Data</v>
      </c>
      <c r="M17" s="546" t="str">
        <f t="shared" si="4"/>
        <v>No Data</v>
      </c>
      <c r="N17" s="547"/>
      <c r="O17" s="63"/>
    </row>
    <row r="18" spans="1:15" ht="28.5" x14ac:dyDescent="0.35">
      <c r="A18" s="63"/>
      <c r="B18" s="108">
        <v>3600</v>
      </c>
      <c r="C18" s="173"/>
      <c r="D18" s="174"/>
      <c r="E18" s="173"/>
      <c r="F18" s="175"/>
      <c r="G18" s="166"/>
      <c r="H18" s="167"/>
      <c r="I18" s="162" t="str">
        <f t="shared" si="0"/>
        <v>No Data</v>
      </c>
      <c r="J18" s="133" t="str">
        <f t="shared" si="1"/>
        <v>No Data</v>
      </c>
      <c r="K18" s="129" t="str">
        <f t="shared" si="2"/>
        <v>No Data</v>
      </c>
      <c r="L18" s="107" t="str">
        <f t="shared" si="5"/>
        <v>No Data</v>
      </c>
      <c r="M18" s="546" t="str">
        <f t="shared" si="4"/>
        <v>No Data</v>
      </c>
      <c r="N18" s="547"/>
      <c r="O18" s="63"/>
    </row>
    <row r="19" spans="1:15" ht="28.5" x14ac:dyDescent="0.35">
      <c r="A19" s="63"/>
      <c r="B19" s="108">
        <v>3700</v>
      </c>
      <c r="C19" s="173"/>
      <c r="D19" s="174"/>
      <c r="E19" s="173"/>
      <c r="F19" s="175"/>
      <c r="G19" s="166"/>
      <c r="H19" s="167"/>
      <c r="I19" s="162" t="str">
        <f t="shared" si="0"/>
        <v>No Data</v>
      </c>
      <c r="J19" s="133" t="str">
        <f t="shared" si="1"/>
        <v>No Data</v>
      </c>
      <c r="K19" s="129" t="str">
        <f t="shared" si="2"/>
        <v>No Data</v>
      </c>
      <c r="L19" s="107" t="str">
        <f t="shared" si="5"/>
        <v>No Data</v>
      </c>
      <c r="M19" s="546" t="str">
        <f t="shared" si="4"/>
        <v>No Data</v>
      </c>
      <c r="N19" s="547"/>
      <c r="O19" s="63"/>
    </row>
    <row r="20" spans="1:15" ht="28.5" x14ac:dyDescent="0.35">
      <c r="A20" s="63"/>
      <c r="B20" s="108">
        <v>3800</v>
      </c>
      <c r="C20" s="173"/>
      <c r="D20" s="174"/>
      <c r="E20" s="173"/>
      <c r="F20" s="175"/>
      <c r="G20" s="166"/>
      <c r="H20" s="167"/>
      <c r="I20" s="162" t="str">
        <f t="shared" si="0"/>
        <v>No Data</v>
      </c>
      <c r="J20" s="133" t="str">
        <f t="shared" ref="J20:J28" si="6">IF(G20&gt;0, ($L$4/G20), ("No Data"))</f>
        <v>No Data</v>
      </c>
      <c r="K20" s="129" t="str">
        <f t="shared" ref="K20:K28" si="7">IF(H20&gt;0,((J20*H20)), ("No Data"))</f>
        <v>No Data</v>
      </c>
      <c r="L20" s="107" t="str">
        <f t="shared" si="5"/>
        <v>No Data</v>
      </c>
      <c r="M20" s="546" t="str">
        <f t="shared" si="4"/>
        <v>No Data</v>
      </c>
      <c r="N20" s="547"/>
      <c r="O20" s="63"/>
    </row>
    <row r="21" spans="1:15" ht="28.5" x14ac:dyDescent="0.35">
      <c r="A21" s="63"/>
      <c r="B21" s="108">
        <v>3900</v>
      </c>
      <c r="C21" s="173"/>
      <c r="D21" s="174"/>
      <c r="E21" s="173"/>
      <c r="F21" s="175"/>
      <c r="G21" s="166"/>
      <c r="H21" s="167"/>
      <c r="I21" s="162" t="str">
        <f t="shared" si="0"/>
        <v>No Data</v>
      </c>
      <c r="J21" s="133" t="str">
        <f t="shared" si="6"/>
        <v>No Data</v>
      </c>
      <c r="K21" s="129" t="str">
        <f t="shared" si="7"/>
        <v>No Data</v>
      </c>
      <c r="L21" s="107" t="str">
        <f t="shared" si="5"/>
        <v>No Data</v>
      </c>
      <c r="M21" s="546" t="str">
        <f t="shared" si="4"/>
        <v>No Data</v>
      </c>
      <c r="N21" s="547"/>
      <c r="O21" s="63"/>
    </row>
    <row r="22" spans="1:15" ht="28.5" x14ac:dyDescent="0.35">
      <c r="A22" s="63"/>
      <c r="B22" s="108">
        <v>4000</v>
      </c>
      <c r="C22" s="173"/>
      <c r="D22" s="174"/>
      <c r="E22" s="173"/>
      <c r="F22" s="175"/>
      <c r="G22" s="166"/>
      <c r="H22" s="167"/>
      <c r="I22" s="162" t="str">
        <f t="shared" si="0"/>
        <v>No Data</v>
      </c>
      <c r="J22" s="133" t="str">
        <f t="shared" si="6"/>
        <v>No Data</v>
      </c>
      <c r="K22" s="129" t="str">
        <f t="shared" si="7"/>
        <v>No Data</v>
      </c>
      <c r="L22" s="107" t="str">
        <f t="shared" si="5"/>
        <v>No Data</v>
      </c>
      <c r="M22" s="546" t="str">
        <f t="shared" si="4"/>
        <v>No Data</v>
      </c>
      <c r="N22" s="547"/>
      <c r="O22" s="63"/>
    </row>
    <row r="23" spans="1:15" ht="28.5" x14ac:dyDescent="0.35">
      <c r="A23" s="63"/>
      <c r="B23" s="108">
        <v>4250</v>
      </c>
      <c r="C23" s="548" t="s">
        <v>232</v>
      </c>
      <c r="D23" s="549"/>
      <c r="E23" s="549"/>
      <c r="F23" s="550"/>
      <c r="G23" s="166"/>
      <c r="H23" s="167"/>
      <c r="I23" s="162" t="str">
        <f t="shared" si="0"/>
        <v>No Data</v>
      </c>
      <c r="J23" s="133" t="str">
        <f t="shared" si="6"/>
        <v>No Data</v>
      </c>
      <c r="K23" s="129" t="str">
        <f t="shared" si="7"/>
        <v>No Data</v>
      </c>
      <c r="L23" s="107" t="str">
        <f t="shared" si="5"/>
        <v>No Data</v>
      </c>
      <c r="M23" s="546" t="str">
        <f t="shared" si="4"/>
        <v>No Data</v>
      </c>
      <c r="N23" s="547"/>
      <c r="O23" s="63"/>
    </row>
    <row r="24" spans="1:15" ht="28.5" x14ac:dyDescent="0.35">
      <c r="A24" s="63"/>
      <c r="B24" s="108">
        <v>4500</v>
      </c>
      <c r="C24" s="551"/>
      <c r="D24" s="552"/>
      <c r="E24" s="552"/>
      <c r="F24" s="553"/>
      <c r="G24" s="166"/>
      <c r="H24" s="167"/>
      <c r="I24" s="162" t="str">
        <f t="shared" si="0"/>
        <v>No Data</v>
      </c>
      <c r="J24" s="133" t="str">
        <f t="shared" si="6"/>
        <v>No Data</v>
      </c>
      <c r="K24" s="129" t="str">
        <f t="shared" si="7"/>
        <v>No Data</v>
      </c>
      <c r="L24" s="107" t="str">
        <f t="shared" si="5"/>
        <v>No Data</v>
      </c>
      <c r="M24" s="546" t="str">
        <f t="shared" si="4"/>
        <v>No Data</v>
      </c>
      <c r="N24" s="547"/>
      <c r="O24" s="63"/>
    </row>
    <row r="25" spans="1:15" ht="28.5" x14ac:dyDescent="0.35">
      <c r="A25" s="63"/>
      <c r="B25" s="108">
        <v>5000</v>
      </c>
      <c r="C25" s="551"/>
      <c r="D25" s="552"/>
      <c r="E25" s="552"/>
      <c r="F25" s="553"/>
      <c r="G25" s="166"/>
      <c r="H25" s="167"/>
      <c r="I25" s="162" t="str">
        <f t="shared" si="0"/>
        <v>No Data</v>
      </c>
      <c r="J25" s="133" t="str">
        <f t="shared" si="6"/>
        <v>No Data</v>
      </c>
      <c r="K25" s="129" t="str">
        <f t="shared" si="7"/>
        <v>No Data</v>
      </c>
      <c r="L25" s="107" t="str">
        <f t="shared" si="5"/>
        <v>No Data</v>
      </c>
      <c r="M25" s="546" t="str">
        <f t="shared" si="4"/>
        <v>No Data</v>
      </c>
      <c r="N25" s="547"/>
      <c r="O25" s="63"/>
    </row>
    <row r="26" spans="1:15" ht="28.5" x14ac:dyDescent="0.35">
      <c r="A26" s="63"/>
      <c r="B26" s="108">
        <v>5500</v>
      </c>
      <c r="C26" s="551"/>
      <c r="D26" s="552"/>
      <c r="E26" s="552"/>
      <c r="F26" s="553"/>
      <c r="G26" s="166"/>
      <c r="H26" s="167"/>
      <c r="I26" s="162" t="str">
        <f t="shared" si="0"/>
        <v>No Data</v>
      </c>
      <c r="J26" s="133" t="str">
        <f t="shared" si="6"/>
        <v>No Data</v>
      </c>
      <c r="K26" s="129" t="str">
        <f t="shared" si="7"/>
        <v>No Data</v>
      </c>
      <c r="L26" s="107" t="str">
        <f t="shared" si="5"/>
        <v>No Data</v>
      </c>
      <c r="M26" s="546" t="str">
        <f t="shared" si="4"/>
        <v>No Data</v>
      </c>
      <c r="N26" s="547"/>
      <c r="O26" s="63"/>
    </row>
    <row r="27" spans="1:15" ht="28.5" x14ac:dyDescent="0.35">
      <c r="A27" s="63"/>
      <c r="B27" s="108">
        <v>6000</v>
      </c>
      <c r="C27" s="551"/>
      <c r="D27" s="552"/>
      <c r="E27" s="552"/>
      <c r="F27" s="553"/>
      <c r="G27" s="166"/>
      <c r="H27" s="167"/>
      <c r="I27" s="162" t="str">
        <f t="shared" si="0"/>
        <v>No Data</v>
      </c>
      <c r="J27" s="133" t="str">
        <f t="shared" si="6"/>
        <v>No Data</v>
      </c>
      <c r="K27" s="129" t="str">
        <f t="shared" si="7"/>
        <v>No Data</v>
      </c>
      <c r="L27" s="107" t="str">
        <f t="shared" si="5"/>
        <v>No Data</v>
      </c>
      <c r="M27" s="546" t="str">
        <f t="shared" si="4"/>
        <v>No Data</v>
      </c>
      <c r="N27" s="547"/>
      <c r="O27" s="63"/>
    </row>
    <row r="28" spans="1:15" ht="29" thickBot="1" x14ac:dyDescent="0.4">
      <c r="A28" s="63"/>
      <c r="B28" s="106" t="s">
        <v>225</v>
      </c>
      <c r="C28" s="554"/>
      <c r="D28" s="555"/>
      <c r="E28" s="555"/>
      <c r="F28" s="556"/>
      <c r="G28" s="168"/>
      <c r="H28" s="169"/>
      <c r="I28" s="163" t="str">
        <f t="shared" si="0"/>
        <v>No Data</v>
      </c>
      <c r="J28" s="134" t="str">
        <f t="shared" si="6"/>
        <v>No Data</v>
      </c>
      <c r="K28" s="131" t="str">
        <f t="shared" si="7"/>
        <v>No Data</v>
      </c>
      <c r="L28" s="105" t="str">
        <f t="shared" si="5"/>
        <v>No Data</v>
      </c>
      <c r="M28" s="557" t="str">
        <f t="shared" si="4"/>
        <v>No Data</v>
      </c>
      <c r="N28" s="558"/>
      <c r="O28" s="63"/>
    </row>
    <row r="29" spans="1:15" x14ac:dyDescent="0.3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</sheetData>
  <sheetProtection algorithmName="SHA-512" hashValue="3l7CSh0u4meFmn+gedlHjaUiUBZ6R+ieZxjCBA83y7Mw9w4to1Yd1j6sdRWZ/WjcgLeiQK1bKThu7WGHjNAlTg==" saltValue="cDm/4HvVZ87ll61n+agXLg==" spinCount="100000" sheet="1" objects="1" scenarios="1"/>
  <mergeCells count="36">
    <mergeCell ref="J7:J9"/>
    <mergeCell ref="C23:F28"/>
    <mergeCell ref="M23:N23"/>
    <mergeCell ref="M24:N24"/>
    <mergeCell ref="M25:N25"/>
    <mergeCell ref="M26:N26"/>
    <mergeCell ref="M27:N27"/>
    <mergeCell ref="M28:N28"/>
    <mergeCell ref="M21:N21"/>
    <mergeCell ref="M22:N22"/>
    <mergeCell ref="M16:N16"/>
    <mergeCell ref="M11:N11"/>
    <mergeCell ref="M12:N12"/>
    <mergeCell ref="M13:N13"/>
    <mergeCell ref="M14:N14"/>
    <mergeCell ref="M17:N17"/>
    <mergeCell ref="M15:N15"/>
    <mergeCell ref="M18:N18"/>
    <mergeCell ref="M19:N19"/>
    <mergeCell ref="M20:N20"/>
    <mergeCell ref="B2:J2"/>
    <mergeCell ref="L2:N3"/>
    <mergeCell ref="F3:J5"/>
    <mergeCell ref="L4:N5"/>
    <mergeCell ref="M10:N10"/>
    <mergeCell ref="M7:N9"/>
    <mergeCell ref="B5:C5"/>
    <mergeCell ref="D5:E5"/>
    <mergeCell ref="B3:C3"/>
    <mergeCell ref="B4:C4"/>
    <mergeCell ref="D3:E3"/>
    <mergeCell ref="D4:E4"/>
    <mergeCell ref="K7:L7"/>
    <mergeCell ref="B7:B9"/>
    <mergeCell ref="C7:H7"/>
    <mergeCell ref="I7:I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S-D-T Calc</vt:lpstr>
      <vt:lpstr>SAR</vt:lpstr>
      <vt:lpstr>Track Spacing</vt:lpstr>
      <vt:lpstr>Sweep Width</vt:lpstr>
      <vt:lpstr>CDMVT</vt:lpstr>
      <vt:lpstr>TVMDC</vt:lpstr>
      <vt:lpstr>Range Calc</vt:lpstr>
      <vt:lpstr>PJ31 RPMvsSPEED</vt:lpstr>
      <vt:lpstr>PJ20 RPMvsSPEED</vt:lpstr>
      <vt:lpstr>VoyageDistanceTime</vt:lpstr>
      <vt:lpstr>VOYAGE PLAN Calc</vt:lpstr>
      <vt:lpstr>PJ31 Deviation Card</vt:lpstr>
      <vt:lpstr>PJ20 Deviation Card</vt:lpstr>
      <vt:lpstr>'PJ20 Deviation Card'!Print_Area</vt:lpstr>
      <vt:lpstr>'PJ20 RPMvsSPEED'!Print_Area</vt:lpstr>
      <vt:lpstr>'PJ31 RPMvsSPEED'!Print_Area</vt:lpstr>
      <vt:lpstr>'Range Calc'!Print_Area</vt:lpstr>
      <vt:lpstr>'S-D-T Calc'!Print_Area</vt:lpstr>
      <vt:lpstr>'Sweep Width'!Print_Area</vt:lpstr>
      <vt:lpstr>'Track Spacing'!Print_Area</vt:lpstr>
      <vt:lpstr>'VOYAGE PLAN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2025-02-08T03:44:29Z</dcterms:modified>
</cp:coreProperties>
</file>